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smBGZvV1MITaswWIaoXjShbWURxu+B0nj6sxbD+NmumAnaYPHvjRKaE9rQVeArP8NRI/SdVADzr2gcQMqpd50Q==" workbookSaltValue="SaPg7fGO44SSqaO8189p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BH9" i="16"/>
  <c r="V15" i="11"/>
  <c r="BJ17" i="11"/>
  <c r="BH15" i="11"/>
  <c r="BH15" i="16"/>
  <c r="Q17" i="20"/>
  <c r="Q18" i="20" s="1"/>
  <c r="V11" i="16"/>
  <c r="BF17" i="11"/>
  <c r="BF16" i="11"/>
  <c r="S17" i="16"/>
  <c r="BL12" i="11"/>
  <c r="S13" i="16"/>
  <c r="P13" i="16"/>
  <c r="H13" i="21"/>
  <c r="AN13" i="20"/>
  <c r="F15" i="17"/>
  <c r="AQ15" i="17" s="1"/>
  <c r="M18" i="2"/>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L9" i="2"/>
  <c r="BF15" i="13"/>
  <c r="BG15" i="13"/>
  <c r="BA18" i="13"/>
  <c r="BE15" i="13"/>
  <c r="BF16" i="13"/>
  <c r="W20" i="20"/>
  <c r="AA20" i="20"/>
  <c r="AV20" i="20"/>
  <c r="AP20" i="20"/>
  <c r="M20" i="20"/>
  <c r="BD17" i="8" l="1"/>
  <c r="C18" i="7"/>
  <c r="T19" i="8"/>
  <c r="AM11" i="11"/>
  <c r="BG10" i="8"/>
  <c r="AO12" i="11"/>
  <c r="K12" i="7"/>
  <c r="AO17" i="11"/>
  <c r="AP16" i="20"/>
  <c r="S10" i="14"/>
  <c r="V10" i="14" s="1"/>
  <c r="S17" i="14"/>
  <c r="V17" i="14" s="1"/>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D12" i="13"/>
  <c r="F15" i="16"/>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AK20" i="20"/>
  <c r="U10" i="11"/>
  <c r="H20" i="20"/>
  <c r="I12" i="12" l="1"/>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<sst xmlns="http://schemas.openxmlformats.org/spreadsheetml/2006/main" count="2088" uniqueCount="916">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</sst>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236kJIfnNaYMgBx7KZKW78o21DxChrW4c/fNTBAtt7eCw+vHcYmzxHmTxJkFSKinY2OjwFnr0DX5C0aaAWXyQ==" saltValue="lFQaFdNSIRVsNujFUWhi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30.172724929105438</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178</v>
      </c>
      <c r="D10" s="225">
        <f>IF(ISNUMBER(Datos!I10),Datos!I10," - ")</f>
        <v>178</v>
      </c>
      <c r="E10" s="226">
        <f>IF(ISNUMBER(Datos!J10),Datos!J10," - ")</f>
        <v>54</v>
      </c>
      <c r="F10" s="226">
        <f>IF(ISNUMBER(Datos!K10),Datos!K10," - ")</f>
        <v>78</v>
      </c>
      <c r="G10" s="1034" t="str">
        <f>IF(Datos!E10&lt;&gt;"",Datos!E10,Datos!D10)</f>
        <v>37</v>
      </c>
      <c r="H10" s="227">
        <f>IF(ISNUMBER(Datos!L10),Datos!L10," - ")</f>
        <v>154</v>
      </c>
      <c r="I10" s="1044" t="str">
        <f>IF(ISNUMBER(Datos!AS10/Datos!BM10),Datos!AS10/Datos!BM10," - ")</f>
        <v xml:space="preserve"> - </v>
      </c>
      <c r="J10" s="1045">
        <f>IF(ISNUMBER(Datos!BY10/Datos!CN10),Datos!BY10/Datos!CN10," - ")</f>
        <v>0</v>
      </c>
      <c r="K10" s="230">
        <f t="shared" ref="K10:K12" si="1">IF(ISNUMBER((E10-F10)/C10),(E10-F10)/C10," - ")</f>
        <v>-0.1348314606741573</v>
      </c>
      <c r="L10" s="1025">
        <f>IF(ISNUMBER(NºAsuntos!I10/NºAsuntos!G10),(NºAsuntos!I10/NºAsuntos!G10)*11," - ")</f>
        <v>21.717948717948719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19.628125000000001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178</v>
      </c>
      <c r="D13" s="1049">
        <f>SUBTOTAL(9,D9:D12)</f>
        <v>178</v>
      </c>
      <c r="E13" s="1050">
        <f>SUBTOTAL(9,E9:E12)</f>
        <v>54</v>
      </c>
      <c r="F13" s="1051">
        <f>SUBTOTAL(9,F9:F12)</f>
        <v>78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2439</v>
      </c>
      <c r="D15" s="225">
        <f>IF(ISNUMBER(IF(D_I="SI",Datos!I15,Datos!I15+Datos!AC15)),IF(D_I="SI",Datos!I15,Datos!I15+Datos!AC15)," - ")</f>
        <v>2421</v>
      </c>
      <c r="E15" s="226">
        <f>IF(ISNUMBER(IF(D_I="SI",Datos!J15,Datos!J15+Datos!AD15)),IF(D_I="SI",Datos!J15,Datos!J15+Datos!AD15)," - ")</f>
        <v>2920</v>
      </c>
      <c r="F15" s="226">
        <f>IF(ISNUMBER(IF(D_I="SI",Datos!K15,Datos!K15+Datos!AE15)),IF(D_I="SI",Datos!K15,Datos!K15+Datos!AE15)," - ")</f>
        <v>2999</v>
      </c>
      <c r="G15" s="1034" t="str">
        <f>IF(Datos!E15&lt;&gt;"",Datos!E15,Datos!D15)</f>
        <v>03</v>
      </c>
      <c r="H15" s="227">
        <f>IF(ISNUMBER(IF(D_I="SI",Datos!L15,Datos!L15+Datos!AF15)),IF(D_I="SI",Datos!L15,Datos!L15+Datos!AF15)," - ")</f>
        <v>2360</v>
      </c>
      <c r="I15" s="1044" t="str">
        <f>IF(ISNUMBER(Datos!AS15/Datos!BM15),Datos!AS15/Datos!BM15," - ")</f>
        <v xml:space="preserve"> - </v>
      </c>
      <c r="J15" s="1045">
        <f>IF(ISNUMBER(Datos!BY15/Datos!CN15),Datos!BY15/Datos!CN15," - ")</f>
        <v>0</v>
      </c>
      <c r="K15" s="230">
        <f t="shared" ref="K15:K17" si="3">IF(ISNUMBER((E15-F15)/C15),(E15-F15)/C15," - ")</f>
        <v>-3.2390323903239031E-2</v>
      </c>
      <c r="L15" s="1025">
        <f>IF(ISNUMBER(NºAsuntos!I15/NºAsuntos!G15),(NºAsuntos!I15/NºAsuntos!G15)*11," - ")</f>
        <v>8.6562187395798595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352</v>
      </c>
      <c r="D17" s="225">
        <f>IF(ISNUMBER(IF(D_I="SI",Datos!I17,Datos!I17+Datos!AC17)),IF(D_I="SI",Datos!I17,Datos!I17+Datos!AC17)," - ")</f>
        <v>347</v>
      </c>
      <c r="E17" s="226">
        <f>IF(ISNUMBER(IF(D_I="SI",Datos!J17,Datos!J17+Datos!AD17)),IF(D_I="SI",Datos!J17,Datos!J17+Datos!AD17)," - ")</f>
        <v>292</v>
      </c>
      <c r="F17" s="226">
        <f>IF(ISNUMBER(IF(D_I="SI",Datos!K17,Datos!K17+Datos!AE17)),IF(D_I="SI",Datos!K17,Datos!K17+Datos!AE17)," - ")</f>
        <v>305</v>
      </c>
      <c r="G17" s="1034" t="str">
        <f>IF(Datos!E17&lt;&gt;"",Datos!E17,Datos!D17)</f>
        <v>37</v>
      </c>
      <c r="H17" s="227">
        <f>IF(ISNUMBER(IF(D_I="SI",Datos!L17,Datos!L17+Datos!AF17)),IF(D_I="SI",Datos!L17,Datos!L17+Datos!AF17)," - ")</f>
        <v>339</v>
      </c>
      <c r="I17" s="1044" t="str">
        <f>IF(ISNUMBER(Datos!AS17/Datos!BM17),Datos!AS17/Datos!BM17," - ")</f>
        <v xml:space="preserve"> - </v>
      </c>
      <c r="J17" s="1045" t="str">
        <f>IF(ISNUMBER((Datos!BY17+Datos!BZ17)/Datos!CN17),(Datos!BY17+Datos!BZ17)/Datos!CN17," - ")</f>
        <v xml:space="preserve"> - </v>
      </c>
      <c r="K17" s="230">
        <f t="shared" si="3"/>
        <v>-3.6931818181818184E-2</v>
      </c>
      <c r="L17" s="1025">
        <f>IF(ISNUMBER(NºAsuntos!I17/NºAsuntos!G17),(NºAsuntos!I17/NºAsuntos!G17)*11," - ")</f>
        <v>12.22622950819672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2791</v>
      </c>
      <c r="D18" s="1049">
        <f>SUBTOTAL(9,D15:D17)</f>
        <v>2768</v>
      </c>
      <c r="E18" s="1050">
        <f>SUBTOTAL(9,E15:E17)</f>
        <v>3212</v>
      </c>
      <c r="F18" s="1050">
        <f>SUBTOTAL(9,F15:F17)</f>
        <v>3304</v>
      </c>
      <c r="G18" s="1052" t="str">
        <f ca="1">INDIRECT(CONCATENATE("G",ROW()-1))</f>
        <v>37</v>
      </c>
      <c r="H18" s="1053">
        <f ca="1">SUMIF(G$14:G17,G18,H$14:H17)</f>
        <v>339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2969</v>
      </c>
      <c r="D19" s="1071">
        <f>SUBTOTAL(9,D9:D18)</f>
        <v>2946</v>
      </c>
      <c r="E19" s="1072">
        <f>SUBTOTAL(9,E9:E18)</f>
        <v>3266</v>
      </c>
      <c r="F19" s="1072">
        <f>SUBTOTAL(9,F9:F18)</f>
        <v>3382</v>
      </c>
      <c r="G19" s="1073"/>
      <c r="H19" s="1074">
        <f ca="1">SUMIF(B9:B18,"TOTAL",H9:H18)</f>
        <v>339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nSzLWyaFZOKX4ZZTQrhkvDxJll7sG6gFxVcEGAtt6bOjBGb5lkhIaN1TfUji0jESTNF4s5d8fPyk+z6szB1BjQ==" saltValue="8te4+R/Mn0WVBCw87ikDa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9PoVoCFfcYbFFhnd/5jirk0ghS2MXzqGRUJG2/Ndm3BoPX69A8mZOloqphwQgd10U9IHdVHmRaz2nYzcXqzmA==" saltValue="jpQzQNEeib+DCG/VRYO7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10950</v>
      </c>
      <c r="J9" s="181">
        <v>2654</v>
      </c>
      <c r="K9" s="181">
        <v>3790</v>
      </c>
      <c r="L9" s="181">
        <v>10488</v>
      </c>
      <c r="M9" s="181">
        <v>850</v>
      </c>
      <c r="N9" s="181">
        <v>1427</v>
      </c>
      <c r="O9" s="181">
        <v>1623</v>
      </c>
      <c r="P9" s="181">
        <v>1088</v>
      </c>
      <c r="Q9" s="181">
        <v>1409</v>
      </c>
      <c r="R9" s="181">
        <v>12899</v>
      </c>
      <c r="S9" s="181">
        <v>7982</v>
      </c>
      <c r="T9" s="181">
        <v>3275</v>
      </c>
      <c r="U9" s="181">
        <v>2941</v>
      </c>
      <c r="V9" s="181">
        <v>8316</v>
      </c>
      <c r="W9" s="181">
        <v>561</v>
      </c>
      <c r="X9" s="188">
        <v>928</v>
      </c>
      <c r="Y9" s="191">
        <v>119</v>
      </c>
      <c r="Z9" s="181">
        <v>101</v>
      </c>
      <c r="AA9" s="181">
        <v>89</v>
      </c>
      <c r="AB9" s="181">
        <v>152</v>
      </c>
      <c r="AC9" s="181">
        <v>0</v>
      </c>
      <c r="AD9" s="181">
        <v>0</v>
      </c>
      <c r="AE9" s="181">
        <v>0</v>
      </c>
      <c r="AF9" s="188">
        <v>0</v>
      </c>
      <c r="AG9" s="191">
        <v>157</v>
      </c>
      <c r="AH9" s="181">
        <v>93</v>
      </c>
      <c r="AI9" s="181">
        <v>120</v>
      </c>
      <c r="AJ9" s="192">
        <v>130</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8139</v>
      </c>
      <c r="AZ9" s="123">
        <f>IF(ISNUMBER(IF(J_V="SI",T9,T9+AH9)),IF(J_V="SI",T9,T9+AH9)," - ")</f>
        <v>3368</v>
      </c>
      <c r="BA9" s="124">
        <f>IF(ISNUMBER(IF(J_V="SI",U9,U9+AI9)),IF(J_V="SI",U9,U9+AI9)," - ")</f>
        <v>3061</v>
      </c>
      <c r="BB9" s="124">
        <f>IF(ISNUMBER(IF(J_V="SI",V9,V9+AJ9)),IF(J_V="SI",V9,V9+AJ9)," - ")</f>
        <v>8446</v>
      </c>
      <c r="BC9" s="125">
        <f>IF(ISNUMBER(X9),X9," - ")</f>
        <v>928</v>
      </c>
      <c r="BD9" s="126">
        <f>IF(ISNUMBER(BA9/AZ9),BA9/AZ9," - ")</f>
        <v>0.90884798099762465</v>
      </c>
      <c r="BE9" s="127">
        <f>IF(ISNUMBER(BB9/BA9),BB9/BA9, " - ")</f>
        <v>2.7592290101274095</v>
      </c>
      <c r="BF9" s="127">
        <f>IF(ISNUMBER(BC9/BA9),BC9/BA9, " - ")</f>
        <v>0.3031688990525972</v>
      </c>
      <c r="BG9" s="196">
        <f>IF(ISNUMBER((AY9+AZ9)/BA9),(AY9+AZ9)/BA9," - ")</f>
        <v>3.7592290101274095</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178</v>
      </c>
      <c r="J10" s="181">
        <v>54</v>
      </c>
      <c r="K10" s="181">
        <v>78</v>
      </c>
      <c r="L10" s="181">
        <v>154</v>
      </c>
      <c r="M10" s="181">
        <v>38</v>
      </c>
      <c r="N10" s="181">
        <v>21</v>
      </c>
      <c r="O10" s="181">
        <v>26</v>
      </c>
      <c r="P10" s="181">
        <v>19</v>
      </c>
      <c r="Q10" s="181">
        <v>30</v>
      </c>
      <c r="R10" s="181">
        <v>135</v>
      </c>
      <c r="S10" s="181">
        <v>183</v>
      </c>
      <c r="T10" s="181">
        <v>90</v>
      </c>
      <c r="U10" s="181">
        <v>80</v>
      </c>
      <c r="V10" s="181">
        <v>193</v>
      </c>
      <c r="W10" s="181">
        <v>30</v>
      </c>
      <c r="X10" s="188">
        <v>33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183</v>
      </c>
      <c r="AZ10" s="129">
        <f t="shared" si="0"/>
        <v>90</v>
      </c>
      <c r="BA10" s="129">
        <f t="shared" si="0"/>
        <v>80</v>
      </c>
      <c r="BB10" s="129">
        <f t="shared" si="0"/>
        <v>193</v>
      </c>
      <c r="BC10" s="125">
        <f t="shared" si="0"/>
        <v>30</v>
      </c>
      <c r="BD10" s="126">
        <f>IF(ISNUMBER(BA10/AZ10),BA10/AZ10," - ")</f>
        <v>0.88888888888888884</v>
      </c>
      <c r="BE10" s="127">
        <f>IF(ISNUMBER(BB10/BA10),BB10/BA10, " - ")</f>
        <v>2.4125000000000001</v>
      </c>
      <c r="BF10" s="127">
        <f>IF(ISNUMBER(BC10/BA10),BC10/BA10, " - ")</f>
        <v>0.375</v>
      </c>
      <c r="BG10" s="196">
        <f>IF(ISNUMBER((AY10+AZ10)/BA10),(AY10+AZ10)/BA10," - ")</f>
        <v>3.4125000000000001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1053</v>
      </c>
      <c r="J11" s="183">
        <v>439</v>
      </c>
      <c r="K11" s="183">
        <v>482</v>
      </c>
      <c r="L11" s="183">
        <v>1010</v>
      </c>
      <c r="M11" s="183">
        <v>180</v>
      </c>
      <c r="N11" s="183">
        <v>301</v>
      </c>
      <c r="O11" s="181">
        <v>283</v>
      </c>
      <c r="P11" s="183">
        <v>74</v>
      </c>
      <c r="Q11" s="183">
        <v>105</v>
      </c>
      <c r="R11" s="183">
        <v>920</v>
      </c>
      <c r="S11" s="183">
        <v>987</v>
      </c>
      <c r="T11" s="183">
        <v>368</v>
      </c>
      <c r="U11" s="183">
        <v>533</v>
      </c>
      <c r="V11" s="183">
        <v>829</v>
      </c>
      <c r="W11" s="183">
        <v>261</v>
      </c>
      <c r="X11" s="189">
        <v>374</v>
      </c>
      <c r="Y11" s="191">
        <v>74</v>
      </c>
      <c r="Z11" s="181">
        <v>216</v>
      </c>
      <c r="AA11" s="181">
        <v>158</v>
      </c>
      <c r="AB11" s="181">
        <v>132</v>
      </c>
      <c r="AC11" s="183">
        <v>0</v>
      </c>
      <c r="AD11" s="183">
        <v>0</v>
      </c>
      <c r="AE11" s="183">
        <v>0</v>
      </c>
      <c r="AF11" s="189">
        <v>0</v>
      </c>
      <c r="AG11" s="202">
        <v>163</v>
      </c>
      <c r="AH11" s="183">
        <v>139</v>
      </c>
      <c r="AI11" s="183">
        <v>217</v>
      </c>
      <c r="AJ11" s="203">
        <v>85</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1150</v>
      </c>
      <c r="AZ11" s="127">
        <f t="shared" si="1"/>
        <v>507</v>
      </c>
      <c r="BA11" s="127">
        <f t="shared" si="1"/>
        <v>750</v>
      </c>
      <c r="BB11" s="127">
        <f t="shared" si="1"/>
        <v>914</v>
      </c>
      <c r="BC11" s="125">
        <f>IF(ISNUMBER(X11),X11," - ")</f>
        <v>374</v>
      </c>
      <c r="BD11" s="126">
        <f t="shared" ref="BD11:BD12" si="2">IF(ISNUMBER(BA11/AZ11),BA11/AZ11," - ")</f>
        <v>1.4792899408284024</v>
      </c>
      <c r="BE11" s="127">
        <f t="shared" ref="BE11:BE12" si="3">IF(ISNUMBER(BB11/BA11),BB11/BA11, " - ")</f>
        <v>1.2186666666666666</v>
      </c>
      <c r="BF11" s="127">
        <f t="shared" ref="BF11:BF12" si="4">IF(ISNUMBER(BC11/BA11),BC11/BA11, " - ")</f>
        <v>0.49866666666666665</v>
      </c>
      <c r="BG11" s="196">
        <f t="shared" ref="BG11:BG12" si="5">IF(ISNUMBER((AY11+AZ11)/BA11),(AY11+AZ11)/BA11," - ")</f>
        <v>2.2093333333333334</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12181</v>
      </c>
      <c r="J13" s="184">
        <f t="shared" si="6"/>
        <v>3147</v>
      </c>
      <c r="K13" s="184">
        <f t="shared" si="6"/>
        <v>4350</v>
      </c>
      <c r="L13" s="184">
        <f t="shared" si="6"/>
        <v>11652</v>
      </c>
      <c r="M13" s="184">
        <f t="shared" si="6"/>
        <v>1068</v>
      </c>
      <c r="N13" s="184">
        <f t="shared" si="6"/>
        <v>1749</v>
      </c>
      <c r="O13" s="184">
        <f t="shared" si="6"/>
        <v>1932</v>
      </c>
      <c r="P13" s="184">
        <f t="shared" si="6"/>
        <v>1181</v>
      </c>
      <c r="Q13" s="184">
        <f t="shared" si="6"/>
        <v>1544</v>
      </c>
      <c r="R13" s="184">
        <f t="shared" si="6"/>
        <v>13954</v>
      </c>
      <c r="S13" s="184">
        <f t="shared" si="6"/>
        <v>9152</v>
      </c>
      <c r="T13" s="184">
        <f t="shared" si="6"/>
        <v>3733</v>
      </c>
      <c r="U13" s="184">
        <f t="shared" si="6"/>
        <v>3554</v>
      </c>
      <c r="V13" s="184">
        <f t="shared" si="6"/>
        <v>9338</v>
      </c>
      <c r="W13" s="184">
        <f t="shared" si="6"/>
        <v>852</v>
      </c>
      <c r="X13" s="184">
        <f t="shared" si="6"/>
        <v>1335</v>
      </c>
      <c r="Y13" s="184">
        <f t="shared" si="6"/>
        <v>193</v>
      </c>
      <c r="Z13" s="184">
        <f t="shared" si="6"/>
        <v>317</v>
      </c>
      <c r="AA13" s="184">
        <f t="shared" si="6"/>
        <v>247</v>
      </c>
      <c r="AB13" s="184">
        <f t="shared" si="6"/>
        <v>284</v>
      </c>
      <c r="AC13" s="184">
        <f t="shared" si="6"/>
        <v>0</v>
      </c>
      <c r="AD13" s="184">
        <f t="shared" si="6"/>
        <v>0</v>
      </c>
      <c r="AE13" s="184">
        <f t="shared" si="6"/>
        <v>0</v>
      </c>
      <c r="AF13" s="184">
        <f>SUBTOTAL(9,AF9:AF12)</f>
        <v>0</v>
      </c>
      <c r="AG13" s="184">
        <f t="shared" ref="AG13:AT13" si="7">SUBTOTAL(9,AG8:AG12)</f>
        <v>320</v>
      </c>
      <c r="AH13" s="184">
        <f t="shared" si="7"/>
        <v>232</v>
      </c>
      <c r="AI13" s="184">
        <f t="shared" si="7"/>
        <v>337</v>
      </c>
      <c r="AJ13" s="184">
        <f t="shared" si="7"/>
        <v>215</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9472</v>
      </c>
      <c r="AZ13" s="184">
        <f>SUBTOTAL(9,AZ8:AZ12)</f>
        <v>3965</v>
      </c>
      <c r="BA13" s="184">
        <f>SUBTOTAL(9,BA8:BA12)</f>
        <v>3891</v>
      </c>
      <c r="BB13" s="184">
        <f>SUBTOTAL(9,BB8:BB12)</f>
        <v>9553</v>
      </c>
      <c r="BC13" s="184">
        <f>SUBTOTAL(9,BC8:BC12)</f>
        <v>1332</v>
      </c>
      <c r="BD13" s="205">
        <f>IF(ISNUMBER(BA13/AZ13),BA13/AZ13," - ")</f>
        <v>0.98133669609079444</v>
      </c>
      <c r="BE13" s="206">
        <f>IF(ISNUMBER(BB13/BA13),BB13/BA13, " - ")</f>
        <v>2.4551529169879207</v>
      </c>
      <c r="BF13" s="206">
        <f>IF(ISNUMBER(BC13/BA13),BC13/BA13, " - ")</f>
        <v>0.34232845026985353</v>
      </c>
      <c r="BG13" s="207">
        <f>IF(ISNUMBER((AY13+AZ13)/BA13),(AY13+AZ13)/BA13," - ")</f>
        <v>3.453353893600617</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2421</v>
      </c>
      <c r="J15" s="183">
        <v>2920</v>
      </c>
      <c r="K15" s="183">
        <v>2999</v>
      </c>
      <c r="L15" s="183">
        <v>2360</v>
      </c>
      <c r="M15" s="183">
        <v>476</v>
      </c>
      <c r="N15" s="183">
        <v>1646</v>
      </c>
      <c r="O15" s="181">
        <v>149</v>
      </c>
      <c r="P15" s="183">
        <v>232</v>
      </c>
      <c r="Q15" s="183">
        <v>239</v>
      </c>
      <c r="R15" s="183">
        <v>447</v>
      </c>
      <c r="S15" s="183">
        <v>2391</v>
      </c>
      <c r="T15" s="183">
        <v>3283</v>
      </c>
      <c r="U15" s="183">
        <v>3403</v>
      </c>
      <c r="V15" s="183">
        <v>2313</v>
      </c>
      <c r="W15" s="183">
        <v>701</v>
      </c>
      <c r="X15" s="189">
        <v>1917</v>
      </c>
      <c r="Y15" s="202">
        <v>0</v>
      </c>
      <c r="Z15" s="183">
        <v>0</v>
      </c>
      <c r="AA15" s="183">
        <v>0</v>
      </c>
      <c r="AB15" s="183">
        <v>0</v>
      </c>
      <c r="AC15" s="183">
        <v>3</v>
      </c>
      <c r="AD15" s="183">
        <v>36</v>
      </c>
      <c r="AE15" s="183">
        <v>37</v>
      </c>
      <c r="AF15" s="189">
        <v>2</v>
      </c>
      <c r="AG15" s="202">
        <v>0</v>
      </c>
      <c r="AH15" s="183">
        <v>0</v>
      </c>
      <c r="AI15" s="183">
        <v>0</v>
      </c>
      <c r="AJ15" s="203">
        <v>0</v>
      </c>
      <c r="AK15" s="182">
        <v>4</v>
      </c>
      <c r="AL15" s="183">
        <v>14</v>
      </c>
      <c r="AM15" s="183">
        <v>15</v>
      </c>
      <c r="AN15" s="189">
        <v>3</v>
      </c>
      <c r="AO15" s="259">
        <v>5</v>
      </c>
      <c r="AP15" s="155">
        <v>5</v>
      </c>
      <c r="AQ15" s="155">
        <v>5</v>
      </c>
      <c r="AR15" s="155">
        <v>5</v>
      </c>
      <c r="AS15" s="340" t="s">
        <v>522</v>
      </c>
      <c r="AT15" s="203" t="s">
        <v>326</v>
      </c>
      <c r="AU15" s="202"/>
      <c r="AV15" s="203"/>
      <c r="AW15" s="202"/>
      <c r="AX15" s="203"/>
      <c r="AY15" s="128">
        <f t="shared" ref="AY15:BB16" si="9">IF(ISNUMBER(IF(D_I="SI",S15,S15+AK15)),IF(D_I="SI",S15,S15+AK15)," - ")</f>
        <v>2391</v>
      </c>
      <c r="AZ15" s="129">
        <f t="shared" si="9"/>
        <v>3283</v>
      </c>
      <c r="BA15" s="129">
        <f t="shared" si="9"/>
        <v>3403</v>
      </c>
      <c r="BB15" s="129">
        <f t="shared" si="9"/>
        <v>2313</v>
      </c>
      <c r="BC15" s="125">
        <f>IF(ISNUMBER(W15),W15," - ")</f>
        <v>701</v>
      </c>
      <c r="BD15" s="126">
        <f>IF(ISNUMBER(BA15/AZ15),BA15/AZ15," - ")</f>
        <v>1.0365519342065184</v>
      </c>
      <c r="BE15" s="127">
        <f>IF(ISNUMBER(BB15/BA15),BB15/BA15, " - ")</f>
        <v>0.67969438730531884</v>
      </c>
      <c r="BF15" s="127">
        <f>IF(ISNUMBER(BC15/BA15),BC15/BA15, " - ")</f>
        <v>0.20599471054951513</v>
      </c>
      <c r="BG15" s="196">
        <f t="shared" ref="BG15:BG16" si="10">IF(ISNUMBER((AY15+AZ15)/BA15),(AY15+AZ15)/BA15," - ")</f>
        <v>1.6673523361739642</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347</v>
      </c>
      <c r="J17" s="183">
        <v>292</v>
      </c>
      <c r="K17" s="183">
        <v>305</v>
      </c>
      <c r="L17" s="183">
        <v>339</v>
      </c>
      <c r="M17" s="183">
        <v>48</v>
      </c>
      <c r="N17" s="183">
        <v>176</v>
      </c>
      <c r="O17" s="183">
        <v>5</v>
      </c>
      <c r="P17" s="183">
        <v>6</v>
      </c>
      <c r="Q17" s="183">
        <v>6</v>
      </c>
      <c r="R17" s="183">
        <v>16</v>
      </c>
      <c r="S17" s="183">
        <v>313</v>
      </c>
      <c r="T17" s="183">
        <v>433</v>
      </c>
      <c r="U17" s="183">
        <v>388</v>
      </c>
      <c r="V17" s="183">
        <v>362</v>
      </c>
      <c r="W17" s="183">
        <v>42</v>
      </c>
      <c r="X17" s="189">
        <v>188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313</v>
      </c>
      <c r="AZ17" s="129">
        <f t="shared" si="14"/>
        <v>433</v>
      </c>
      <c r="BA17" s="129">
        <f t="shared" si="14"/>
        <v>388</v>
      </c>
      <c r="BB17" s="129">
        <f t="shared" si="14"/>
        <v>362</v>
      </c>
      <c r="BC17" s="125">
        <f>IF(ISNUMBER(W17),W17," - ")</f>
        <v>42</v>
      </c>
      <c r="BD17" s="126">
        <f>IF(ISNUMBER(BA17/AZ17),BA17/AZ17," - ")</f>
        <v>0.89607390300230949</v>
      </c>
      <c r="BE17" s="127">
        <f>IF(ISNUMBER(BB17/BA17),BB17/BA17, " - ")</f>
        <v>0.9329896907216495</v>
      </c>
      <c r="BF17" s="127">
        <f>IF(ISNUMBER(BC17/BA17),BC17/BA17, " - ")</f>
        <v>0.10824742268041238</v>
      </c>
      <c r="BG17" s="196">
        <f>IF(ISNUMBER((AY17+AZ17)/BA17),(AY17+AZ17)/BA17," - ")</f>
        <v>1.9226804123711341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2768</v>
      </c>
      <c r="J18" s="184">
        <f t="shared" si="15"/>
        <v>3212</v>
      </c>
      <c r="K18" s="184">
        <f t="shared" si="15"/>
        <v>3304</v>
      </c>
      <c r="L18" s="184">
        <f t="shared" si="15"/>
        <v>2699</v>
      </c>
      <c r="M18" s="184">
        <f t="shared" si="15"/>
        <v>524</v>
      </c>
      <c r="N18" s="184">
        <f t="shared" si="15"/>
        <v>1822</v>
      </c>
      <c r="O18" s="184">
        <f t="shared" si="15"/>
        <v>154</v>
      </c>
      <c r="P18" s="184">
        <f t="shared" si="15"/>
        <v>238</v>
      </c>
      <c r="Q18" s="184">
        <f t="shared" si="15"/>
        <v>245</v>
      </c>
      <c r="R18" s="184">
        <f t="shared" si="15"/>
        <v>463</v>
      </c>
      <c r="S18" s="184">
        <f t="shared" si="15"/>
        <v>2704</v>
      </c>
      <c r="T18" s="184">
        <f t="shared" si="15"/>
        <v>3716</v>
      </c>
      <c r="U18" s="184">
        <f t="shared" si="15"/>
        <v>3791</v>
      </c>
      <c r="V18" s="184">
        <f t="shared" si="15"/>
        <v>2675</v>
      </c>
      <c r="W18" s="184">
        <f t="shared" si="15"/>
        <v>743</v>
      </c>
      <c r="X18" s="184">
        <f t="shared" si="15"/>
        <v>2105</v>
      </c>
      <c r="Y18" s="184">
        <f t="shared" si="15"/>
        <v>0</v>
      </c>
      <c r="Z18" s="184">
        <f t="shared" si="15"/>
        <v>0</v>
      </c>
      <c r="AA18" s="184">
        <f t="shared" si="15"/>
        <v>0</v>
      </c>
      <c r="AB18" s="184">
        <f t="shared" si="15"/>
        <v>0</v>
      </c>
      <c r="AC18" s="184">
        <f t="shared" si="15"/>
        <v>3</v>
      </c>
      <c r="AD18" s="184">
        <f t="shared" si="15"/>
        <v>36</v>
      </c>
      <c r="AE18" s="184">
        <f t="shared" si="15"/>
        <v>37</v>
      </c>
      <c r="AF18" s="184">
        <f t="shared" si="15"/>
        <v>2</v>
      </c>
      <c r="AG18" s="184">
        <f t="shared" si="15"/>
        <v>0</v>
      </c>
      <c r="AH18" s="184">
        <f t="shared" si="15"/>
        <v>0</v>
      </c>
      <c r="AI18" s="184">
        <f t="shared" si="15"/>
        <v>0</v>
      </c>
      <c r="AJ18" s="184">
        <f t="shared" si="15"/>
        <v>0</v>
      </c>
      <c r="AK18" s="184">
        <f t="shared" si="15"/>
        <v>4</v>
      </c>
      <c r="AL18" s="184">
        <f t="shared" si="15"/>
        <v>14</v>
      </c>
      <c r="AM18" s="184">
        <f t="shared" si="15"/>
        <v>15</v>
      </c>
      <c r="AN18" s="184">
        <f t="shared" si="15"/>
        <v>3</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2704</v>
      </c>
      <c r="AZ18" s="184">
        <f>SUBTOTAL(9,AZ14:AZ17)</f>
        <v>3716</v>
      </c>
      <c r="BA18" s="184">
        <f>SUBTOTAL(9,BA14:BA17)</f>
        <v>3791</v>
      </c>
      <c r="BB18" s="184">
        <f>SUBTOTAL(9,BB14:BB17)</f>
        <v>2675</v>
      </c>
      <c r="BC18" s="184">
        <f>SUBTOTAL(9,BC14:BC17)</f>
        <v>743</v>
      </c>
      <c r="BD18" s="205">
        <f>IF(ISNUMBER(BA18/AZ18),BA18/AZ18," - ")</f>
        <v>1.0201829924650161</v>
      </c>
      <c r="BE18" s="206">
        <f>IF(ISNUMBER(BB18/BA18),BB18/BA18, " - ")</f>
        <v>0.7056185702980744</v>
      </c>
      <c r="BF18" s="206">
        <f>IF(ISNUMBER(BC18/BA18),BC18/BA18, " - ")</f>
        <v>0.19599050382484831</v>
      </c>
      <c r="BG18" s="207">
        <f>IF(ISNUMBER((AY18+AZ18)/BA18),(AY18+AZ18)/BA18," - ")</f>
        <v>1.6934845687153786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14949</v>
      </c>
      <c r="J19" s="134">
        <f t="shared" si="18"/>
        <v>6359</v>
      </c>
      <c r="K19" s="134">
        <f t="shared" si="18"/>
        <v>7654</v>
      </c>
      <c r="L19" s="134">
        <f t="shared" si="18"/>
        <v>14351</v>
      </c>
      <c r="M19" s="134">
        <f t="shared" si="18"/>
        <v>1592</v>
      </c>
      <c r="N19" s="134">
        <f t="shared" si="18"/>
        <v>3571</v>
      </c>
      <c r="O19" s="134">
        <f t="shared" si="18"/>
        <v>2086</v>
      </c>
      <c r="P19" s="134">
        <f t="shared" si="18"/>
        <v>1419</v>
      </c>
      <c r="Q19" s="134">
        <f t="shared" si="18"/>
        <v>1789</v>
      </c>
      <c r="R19" s="134">
        <f t="shared" si="18"/>
        <v>14417</v>
      </c>
      <c r="S19" s="134">
        <f t="shared" si="18"/>
        <v>11856</v>
      </c>
      <c r="T19" s="134">
        <f t="shared" si="18"/>
        <v>7449</v>
      </c>
      <c r="U19" s="134">
        <f t="shared" si="18"/>
        <v>7345</v>
      </c>
      <c r="V19" s="134">
        <f t="shared" si="18"/>
        <v>12013</v>
      </c>
      <c r="W19" s="134">
        <f t="shared" si="18"/>
        <v>1595</v>
      </c>
      <c r="X19" s="134">
        <f t="shared" si="18"/>
        <v>3440</v>
      </c>
      <c r="Y19" s="134">
        <f t="shared" si="18"/>
        <v>193</v>
      </c>
      <c r="Z19" s="134">
        <f t="shared" si="18"/>
        <v>317</v>
      </c>
      <c r="AA19" s="134">
        <f t="shared" si="18"/>
        <v>247</v>
      </c>
      <c r="AB19" s="134">
        <f t="shared" si="18"/>
        <v>284</v>
      </c>
      <c r="AC19" s="134">
        <f t="shared" si="18"/>
        <v>3</v>
      </c>
      <c r="AD19" s="134">
        <f t="shared" si="18"/>
        <v>36</v>
      </c>
      <c r="AE19" s="134">
        <f t="shared" si="18"/>
        <v>37</v>
      </c>
      <c r="AF19" s="134">
        <f t="shared" si="18"/>
        <v>2</v>
      </c>
      <c r="AG19" s="134">
        <f t="shared" si="18"/>
        <v>320</v>
      </c>
      <c r="AH19" s="134">
        <f t="shared" si="18"/>
        <v>232</v>
      </c>
      <c r="AI19" s="134">
        <f t="shared" si="18"/>
        <v>337</v>
      </c>
      <c r="AJ19" s="134">
        <f t="shared" si="18"/>
        <v>215</v>
      </c>
      <c r="AK19" s="134">
        <f t="shared" si="18"/>
        <v>4</v>
      </c>
      <c r="AL19" s="134">
        <f t="shared" si="18"/>
        <v>14</v>
      </c>
      <c r="AM19" s="134">
        <f t="shared" si="18"/>
        <v>15</v>
      </c>
      <c r="AN19" s="210">
        <f t="shared" si="18"/>
        <v>3</v>
      </c>
      <c r="AO19" s="211">
        <v>14</v>
      </c>
      <c r="AP19" s="211">
        <v>14</v>
      </c>
      <c r="AQ19" s="211">
        <v>14</v>
      </c>
      <c r="AR19" s="211">
        <v>14</v>
      </c>
      <c r="AS19" s="153">
        <f t="shared" si="18"/>
        <v>0</v>
      </c>
      <c r="AT19" s="153">
        <f t="shared" si="18"/>
        <v>0</v>
      </c>
      <c r="AU19" s="211"/>
      <c r="AV19" s="212"/>
      <c r="AW19" s="211"/>
      <c r="AX19" s="212"/>
      <c r="AY19" s="133">
        <f>SUBTOTAL(9,AY9:AY18)</f>
        <v>12176</v>
      </c>
      <c r="AZ19" s="134">
        <f>SUBTOTAL(9,AZ9:AZ18)</f>
        <v>7681</v>
      </c>
      <c r="BA19" s="134">
        <f>SUBTOTAL(9,BA9:BA18)</f>
        <v>7682</v>
      </c>
      <c r="BB19" s="134">
        <f>SUBTOTAL(9,BB9:BB18)</f>
        <v>12228</v>
      </c>
      <c r="BC19" s="135">
        <f>SUBTOTAL(9,BC9:BC18)</f>
        <v>2075</v>
      </c>
      <c r="BD19" s="213">
        <f>IF(ISNUMBER(BA19/AZ19),BA19/AZ19," - ")</f>
        <v>1.0001301913813305</v>
      </c>
      <c r="BE19" s="210">
        <f>IF(ISNUMBER(BB19/BA19),BB19/BA19, " - ")</f>
        <v>1.5917729757875554</v>
      </c>
      <c r="BF19" s="210">
        <f>IF(ISNUMBER(BC19/BA19),BC19/BA19, " - ")</f>
        <v>0.27011195001301747</v>
      </c>
      <c r="BG19" s="135">
        <f>IF(ISNUMBER((AY19+AZ19)/BA19),(AY19+AZ19)/BA19," - ")</f>
        <v>2.5848737307992709</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knJkIzwM6y9oqjj0/brDanCZ/ndcBQfESta+5JCGIPHFdwU65z1NUiLGHVP2WNeWC8g8h4k6xtpJAdwbv/Jg==" saltValue="Tag2ipzwWwnSrEpIKbn4i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wSzkT35gpQHJJGOeHpZi8E4o3J0CMm5FRKbus0E62POYv+e7mOZyNbrktg9pfSofJq39iGlQLoDF/HTQDS9jg==" saltValue="W+P3XISJshv0TgDsPq3r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JEREZ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101</v>
      </c>
      <c r="O9" s="334"/>
      <c r="P9" s="334"/>
      <c r="Q9" s="226">
        <f>IF(ISNUMBER(Datos!P9),Datos!P9,0)</f>
        <v>1088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1409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152</v>
      </c>
      <c r="AI9" s="334" t="str">
        <f>IF(ISNUMBER(Datos!CD9),Datos!CD9,"-")</f>
        <v>-</v>
      </c>
      <c r="AJ9" s="334" t="str">
        <f>IF(ISNUMBER(Datos!EN9),Datos!EN9," - ")</f>
        <v xml:space="preserve"> - </v>
      </c>
      <c r="AK9" s="334"/>
      <c r="AL9" s="479"/>
      <c r="AM9" s="335">
        <f>IF(ISNUMBER(Datos!R9),Datos!R9," - ")</f>
        <v>12899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850</v>
      </c>
      <c r="BD9" s="229">
        <f>IF(ISNUMBER(Datos!N9),Datos!N9," - ")</f>
        <v>1427</v>
      </c>
      <c r="BE9" s="229" t="str">
        <f>IF(ISNUMBER(Datos!BW9),Datos!BW9," - ")</f>
        <v xml:space="preserve"> - </v>
      </c>
      <c r="BF9" s="228" t="str">
        <f>IF(ISNUMBER(Datos!BX9),Datos!BX9," - ")</f>
        <v xml:space="preserve"> - </v>
      </c>
      <c r="BG9" s="243">
        <f>IF(ISNUMBER(IF(J_V="SI",Datos!K9/Datos!J9,(Datos!K9+Datos!AA9)/(Datos!J9+Datos!Z9))),IF(J_V="SI",Datos!K9/Datos!J9,(Datos!K9+Datos!AA9)/(Datos!J9+Datos!Z9))," - ")</f>
        <v>1.4079854809437387</v>
      </c>
      <c r="BH9" s="260">
        <f>IF(ISNUMBER(((IF(J_V="SI",Datos!L9/Datos!K9,(Datos!L9+Datos!AB9)/(Datos!K9+Datos!AA9)))*11)/factor_trimestre),((IF(J_V="SI",Datos!L9/Datos!K9,(Datos!L9+Datos!AB9)/(Datos!K9+Datos!AA9)))*11)/factor_trimestre," - ")</f>
        <v>8.2289249806651199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-2.4281391830559759E-2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178</v>
      </c>
      <c r="G10" s="333">
        <f>IF(ISNUMBER(Datos!I10),Datos!I10," - ")</f>
        <v>178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78</v>
      </c>
      <c r="AC10" s="226">
        <f>IF(ISNUMBER(Datos!Q10),Datos!Q10," - ")</f>
        <v>30</v>
      </c>
      <c r="AD10" s="334"/>
      <c r="AE10" s="484"/>
      <c r="AF10" s="332">
        <f>IF(ISNUMBER(Datos!L10),Datos!L10,"-")</f>
        <v>154</v>
      </c>
      <c r="AG10" s="334"/>
      <c r="AH10" s="334"/>
      <c r="AI10" s="334"/>
      <c r="AJ10" s="334"/>
      <c r="AK10" s="334"/>
      <c r="AL10" s="479"/>
      <c r="AM10" s="335">
        <f>IF(ISNUMBER(Datos!R10),Datos!R10," - ")</f>
        <v>135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38</v>
      </c>
      <c r="BD10" s="229">
        <f>IF(ISNUMBER(Datos!N10),Datos!N10," - ")</f>
        <v>21</v>
      </c>
      <c r="BE10" s="229" t="str">
        <f>IF(ISNUMBER(Datos!BW10),Datos!BW10," - ")</f>
        <v xml:space="preserve"> - </v>
      </c>
      <c r="BF10" s="228" t="str">
        <f>IF(ISNUMBER(Datos!BX10),Datos!BX10," - ")</f>
        <v xml:space="preserve"> - </v>
      </c>
      <c r="BG10" s="243">
        <f>IF(ISNUMBER(Datos!K10/Datos!J10),Datos!K10/Datos!J10," - ")</f>
        <v>1.4444444444444444</v>
      </c>
      <c r="BH10" s="260">
        <f>IF(ISNUMBER(((Datos!L10/Datos!K10)*11)/factor_trimestre),((Datos!L10/Datos!K10)*11)/factor_trimestre," - ")</f>
        <v>5.9230769230769234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-7.5342465753424653E-2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216</v>
      </c>
      <c r="O11" s="334"/>
      <c r="P11" s="334"/>
      <c r="Q11" s="226">
        <f>IF(ISNUMBER(Datos!P11),Datos!P11,0)</f>
        <v>74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105</v>
      </c>
      <c r="AD11" s="334"/>
      <c r="AE11" s="484"/>
      <c r="AF11" s="332" t="str">
        <f>IF(ISNUMBER(IF(J_V="SI",Datos!L11,Datos!L11+Datos!AB11)-IF(Monitorios="SI",Datos!CD11,0)),
                          IF(J_V="SI",Datos!L11,Datos!L11+Datos!AB11)-IF(Monitorios="SI",Datos!CD11,0),
                          " - ")</f>
        <v xml:space="preserve"> - </v>
      </c>
      <c r="AG11" s="334"/>
      <c r="AH11" s="334">
        <f>IF(ISNUMBER(Datos!AB11),Datos!AB11,"-")</f>
        <v>132</v>
      </c>
      <c r="AI11" s="334"/>
      <c r="AJ11" s="334"/>
      <c r="AK11" s="334"/>
      <c r="AL11" s="479"/>
      <c r="AM11" s="335">
        <f>IF(ISNUMBER(Datos!R11),Datos!R11," - ")</f>
        <v>920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180</v>
      </c>
      <c r="BD11" s="229">
        <f>IF(ISNUMBER(Datos!N11),Datos!N11," - ")</f>
        <v>301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0.97709923664122134</v>
      </c>
      <c r="BH11" s="260">
        <f>IF(ISNUMBER(((IF(J_V="SI",Datos!L11/Datos!K11,(Datos!L11+Datos!AB11)/(Datos!K11+Datos!AA11)))*11)/factor_trimestre),((IF(J_V="SI",Datos!L11/Datos!K11,(Datos!L11+Datos!AB11)/(Datos!K11+Datos!AA11)))*11)/factor_trimestre," - ")</f>
        <v>5.3531250000000004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-3.2597266035751839E-2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178</v>
      </c>
      <c r="G13" s="898">
        <f t="shared" si="0"/>
        <v>178</v>
      </c>
      <c r="H13" s="899">
        <f t="shared" si="0"/>
        <v>0</v>
      </c>
      <c r="I13" s="898">
        <f t="shared" si="0"/>
        <v>0</v>
      </c>
      <c r="J13" s="867">
        <f t="shared" si="0"/>
        <v>0</v>
      </c>
      <c r="K13" s="867">
        <f t="shared" si="0"/>
        <v>0</v>
      </c>
      <c r="L13" s="899">
        <f t="shared" si="0"/>
        <v>0</v>
      </c>
      <c r="M13" s="899">
        <f t="shared" si="0"/>
        <v>0</v>
      </c>
      <c r="N13" s="899">
        <f t="shared" si="0"/>
        <v>317</v>
      </c>
      <c r="O13" s="900">
        <f t="shared" si="0"/>
        <v>0</v>
      </c>
      <c r="P13" s="900">
        <f t="shared" si="0"/>
        <v>0</v>
      </c>
      <c r="Q13" s="899">
        <f t="shared" si="0"/>
        <v>1181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78</v>
      </c>
      <c r="AC13" s="899">
        <f t="shared" si="1"/>
        <v>1544</v>
      </c>
      <c r="AD13" s="899">
        <f t="shared" si="1"/>
        <v>0</v>
      </c>
      <c r="AE13" s="899">
        <f t="shared" si="1"/>
        <v>0</v>
      </c>
      <c r="AF13" s="899">
        <f t="shared" si="1"/>
        <v>154</v>
      </c>
      <c r="AG13" s="899">
        <f t="shared" si="1"/>
        <v>0</v>
      </c>
      <c r="AH13" s="899">
        <f t="shared" si="1"/>
        <v>284</v>
      </c>
      <c r="AI13" s="899">
        <f t="shared" si="1"/>
        <v>0</v>
      </c>
      <c r="AJ13" s="899">
        <f t="shared" si="1"/>
        <v>0</v>
      </c>
      <c r="AK13" s="899">
        <f t="shared" si="1"/>
        <v>0</v>
      </c>
      <c r="AL13" s="899">
        <f t="shared" si="1"/>
        <v>0</v>
      </c>
      <c r="AM13" s="899">
        <f t="shared" si="1"/>
        <v>13954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1068</v>
      </c>
      <c r="BD13" s="899">
        <f t="shared" si="1"/>
        <v>1749</v>
      </c>
      <c r="BE13" s="899">
        <f t="shared" si="1"/>
        <v>0</v>
      </c>
      <c r="BF13" s="899">
        <f t="shared" si="1"/>
        <v>0</v>
      </c>
      <c r="BG13" s="899">
        <f>IF(ISNUMBER(Datos!K13/Datos!J13),Datos!K13/Datos!J13," - ")</f>
        <v>1.3822688274547188</v>
      </c>
      <c r="BH13" s="903">
        <f>IF(ISNUMBER(((Datos!L13/Datos!K13)*11)/factor_trimestre),((Datos!L13/Datos!K13)*11)/factor_trimestre," - ")</f>
        <v>8.0358620689655176</v>
      </c>
      <c r="BI13" s="899">
        <f>IF(ISNUMBER('Resol  Asuntos'!D13/NºAsuntos!G13),'Resol  Asuntos'!D13/NºAsuntos!G13," - ")</f>
        <v>0.23232542962801828</v>
      </c>
      <c r="BJ13" s="899" t="str">
        <f>IF(ISNUMBER(Datos!CI13/Datos!CJ13),Datos!CI13/Datos!CJ13," - ")</f>
        <v xml:space="preserve"> - </v>
      </c>
      <c r="BK13" s="899">
        <f>SUBTOTAL(9,BK8:BK12)</f>
        <v>0</v>
      </c>
      <c r="BL13" s="899">
        <f>IF(ISNUMBER((I13-AB13+L13)/(F13)),(I13-AB13+L13)/(F13)," - ")</f>
        <v>-0.43820224719101125</v>
      </c>
      <c r="BM13" s="904">
        <f>SUBTOTAL(9,BM9:BM12)</f>
        <v>-0.13222112361973626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2439</v>
      </c>
      <c r="G15" s="598">
        <f>IF(ISNUMBER(IF(D_I="SI",Datos!I15,Datos!I15+Datos!AC15)),IF(D_I="SI",Datos!I15,Datos!I15+Datos!AC15)," - ")</f>
        <v>2421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232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2999</v>
      </c>
      <c r="AC15" s="226">
        <f>IF(ISNUMBER(Datos!Q15),Datos!Q15," - ")</f>
        <v>239</v>
      </c>
      <c r="AD15" s="334"/>
      <c r="AE15" s="484"/>
      <c r="AF15" s="596">
        <f>IF(ISNUMBER(IF(D_I="SI",Datos!L15,Datos!L15+Datos!AF15)),IF(D_I="SI",Datos!L15,Datos!L15+Datos!AF15)," - ")</f>
        <v>2360</v>
      </c>
      <c r="AG15" s="334"/>
      <c r="AH15" s="334"/>
      <c r="AI15" s="334"/>
      <c r="AJ15" s="334"/>
      <c r="AK15" s="334"/>
      <c r="AL15" s="479"/>
      <c r="AM15" s="335">
        <f>IF(ISNUMBER(Datos!R15),Datos!R15," - ")</f>
        <v>447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476</v>
      </c>
      <c r="BD15" s="229">
        <f>IF(ISNUMBER(Datos!N15),Datos!N15," - ")</f>
        <v>1646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1.0270547945205479</v>
      </c>
      <c r="BH15" s="260">
        <f>IF(ISNUMBER(((IF(D_I="SI",Datos!L15/Datos!K15,(Datos!L15+Datos!AF15)/(Datos!K15+Datos!AE15)))*11)/factor_trimestre),((IF(D_I="SI",Datos!L15/Datos!K15,(Datos!L15+Datos!AF15)/(Datos!K15+Datos!AE15)))*11)/factor_trimestre," - ")</f>
        <v>2.3607869289763252</v>
      </c>
      <c r="BI15" s="243">
        <f>IF(ISNUMBER('Resol  Asuntos'!D15/NºAsuntos!G15),'Resol  Asuntos'!D15/NºAsuntos!G15," - ")</f>
        <v>0.1587195731910637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347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305</v>
      </c>
      <c r="AC17" s="226">
        <f>IF(ISNUMBER(Datos!Q17),Datos!Q17," - ")</f>
        <v>6</v>
      </c>
      <c r="AD17" s="334"/>
      <c r="AE17" s="484"/>
      <c r="AF17" s="332">
        <f>IF(ISNUMBER(Datos!L17),Datos!L17,"-")</f>
        <v>339</v>
      </c>
      <c r="AG17" s="334"/>
      <c r="AH17" s="334"/>
      <c r="AI17" s="334"/>
      <c r="AJ17" s="334"/>
      <c r="AK17" s="334"/>
      <c r="AL17" s="479"/>
      <c r="AM17" s="335">
        <f>IF(ISNUMBER(Datos!R17),Datos!R17," - ")</f>
        <v>16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48</v>
      </c>
      <c r="BD17" s="229">
        <f>IF(ISNUMBER(Datos!N17),Datos!N17," - ")</f>
        <v>176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1.0445205479452055</v>
      </c>
      <c r="BH17" s="260">
        <f>IF(ISNUMBER(((IF(D_I="SI",Datos!L17/Datos!K17,(Datos!L17+Datos!AF17)/(Datos!K17+Datos!AE17)))*11)/factor_trimestre),((IF(D_I="SI",Datos!L17/Datos!K17,(Datos!L17+Datos!AF17)/(Datos!K17+Datos!AE17)))*11)/factor_trimestre," - ")</f>
        <v>3.3344262295081966</v>
      </c>
      <c r="BI17" s="243">
        <f>IF(ISNUMBER('Resol  Asuntos'!D17/NºAsuntos!G17),'Resol  Asuntos'!D17/NºAsuntos!G17," - ")</f>
        <v>0.15737704918032788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2439</v>
      </c>
      <c r="G18" s="898">
        <f>SUBTOTAL(9,G15:G17)</f>
        <v>2768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3304</v>
      </c>
      <c r="AC18" s="899">
        <f t="shared" si="4"/>
        <v>245</v>
      </c>
      <c r="AD18" s="899">
        <f t="shared" si="4"/>
        <v>0</v>
      </c>
      <c r="AE18" s="899">
        <f t="shared" si="4"/>
        <v>0</v>
      </c>
      <c r="AF18" s="899">
        <f t="shared" si="4"/>
        <v>2699</v>
      </c>
      <c r="AG18" s="899">
        <f t="shared" si="4"/>
        <v>0</v>
      </c>
      <c r="AH18" s="899">
        <f t="shared" si="4"/>
        <v>0</v>
      </c>
      <c r="AI18" s="899">
        <f t="shared" si="4"/>
        <v>0</v>
      </c>
      <c r="AJ18" s="899">
        <f t="shared" si="4"/>
        <v>0</v>
      </c>
      <c r="AK18" s="899">
        <f t="shared" si="4"/>
        <v>0</v>
      </c>
      <c r="AL18" s="899">
        <f t="shared" si="4"/>
        <v>0</v>
      </c>
      <c r="AM18" s="899">
        <f t="shared" si="4"/>
        <v>463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524</v>
      </c>
      <c r="BD18" s="899">
        <f t="shared" si="4"/>
        <v>1822</v>
      </c>
      <c r="BE18" s="899">
        <f t="shared" si="4"/>
        <v>0</v>
      </c>
      <c r="BF18" s="899">
        <f t="shared" si="4"/>
        <v>0</v>
      </c>
      <c r="BG18" s="899">
        <f>IF(ISNUMBER(Datos!K18/Datos!J18),Datos!K18/Datos!J18," - ")</f>
        <v>1.0286425902864258</v>
      </c>
      <c r="BH18" s="903">
        <f>IF(ISNUMBER(((Datos!L18/Datos!K18)*11)/factor_trimestre),((Datos!L18/Datos!K18)*11)/factor_trimestre," - ")</f>
        <v>2.4506658595641642</v>
      </c>
      <c r="BI18" s="899">
        <f>SUBTOTAL(9,BI15:BI17)</f>
        <v>0.31609662237139158</v>
      </c>
      <c r="BJ18" s="899">
        <f>SUBTOTAL(9,BJ15:BJ17)</f>
        <v>0</v>
      </c>
      <c r="BK18" s="899">
        <f>SUBTOTAL(9,BK15:BK17)</f>
        <v>0</v>
      </c>
      <c r="BL18" s="899">
        <f>IF(ISNUMBER((I18-AB18+L18)/(F18)),(I18-AB18+L18)/(F18)," - ")</f>
        <v>-1.3546535465354654</v>
      </c>
      <c r="BM18" s="905">
        <f>IF(ISNUMBER((Datos!P18-Datos!Q18)/(Datos!R18-Datos!P18+Datos!Q18)),(Datos!P18-Datos!Q18)/(Datos!R18-Datos!P18+Datos!Q18)," - ")</f>
        <v>-1.4893617021276596E-2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2617</v>
      </c>
      <c r="G19" s="820">
        <f t="shared" si="6"/>
        <v>2946</v>
      </c>
      <c r="H19" s="822">
        <f t="shared" si="6"/>
        <v>0</v>
      </c>
      <c r="I19" s="820">
        <f t="shared" si="6"/>
        <v>0</v>
      </c>
      <c r="J19" s="822">
        <f t="shared" si="6"/>
        <v>0</v>
      </c>
      <c r="K19" s="822">
        <f t="shared" si="6"/>
        <v>0</v>
      </c>
      <c r="L19" s="881">
        <f t="shared" si="6"/>
        <v>0</v>
      </c>
      <c r="M19" s="881">
        <f t="shared" si="6"/>
        <v>0</v>
      </c>
      <c r="N19" s="881">
        <f t="shared" si="6"/>
        <v>317</v>
      </c>
      <c r="O19" s="881">
        <f t="shared" si="6"/>
        <v>0</v>
      </c>
      <c r="P19" s="881">
        <f t="shared" si="6"/>
        <v>0</v>
      </c>
      <c r="Q19" s="822">
        <f t="shared" si="6"/>
        <v>1419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3382</v>
      </c>
      <c r="AC19" s="821">
        <f t="shared" si="7"/>
        <v>1789</v>
      </c>
      <c r="AD19" s="821">
        <f t="shared" si="7"/>
        <v>0</v>
      </c>
      <c r="AE19" s="821">
        <f t="shared" si="7"/>
        <v>0</v>
      </c>
      <c r="AF19" s="828">
        <f t="shared" si="7"/>
        <v>2853</v>
      </c>
      <c r="AG19" s="828">
        <f t="shared" si="7"/>
        <v>0</v>
      </c>
      <c r="AH19" s="828">
        <f t="shared" si="7"/>
        <v>284</v>
      </c>
      <c r="AI19" s="828">
        <f t="shared" si="7"/>
        <v>0</v>
      </c>
      <c r="AJ19" s="821">
        <f t="shared" si="7"/>
        <v>0</v>
      </c>
      <c r="AK19" s="828">
        <f t="shared" si="7"/>
        <v>0</v>
      </c>
      <c r="AL19" s="828">
        <f t="shared" si="7"/>
        <v>0</v>
      </c>
      <c r="AM19" s="828">
        <f t="shared" si="7"/>
        <v>14417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1592</v>
      </c>
      <c r="BD19" s="820">
        <f t="shared" si="7"/>
        <v>3571</v>
      </c>
      <c r="BE19" s="820">
        <f t="shared" si="7"/>
        <v>0</v>
      </c>
      <c r="BF19" s="830">
        <f t="shared" si="7"/>
        <v>0</v>
      </c>
      <c r="BG19" s="915">
        <f>IF(ISNUMBER(Datos!K19/Datos!J19),Datos!K19/Datos!J19," - ")</f>
        <v>1.2036483723855953</v>
      </c>
      <c r="BH19" s="915">
        <f>IF(ISNUMBER(((Datos!L19/Datos!K19)*11)/factor_trimestre),((Datos!L19/Datos!K19)*11)/factor_trimestre," - ")</f>
        <v>5.6249020120198585</v>
      </c>
      <c r="BI19" s="813">
        <f>IF(ISNUMBER(Datos!J19/Datos!I19),Datos!J19/Datos!I19," - ")</f>
        <v>0.42537962405512075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-1.2923194497516239</v>
      </c>
      <c r="BM19" s="889">
        <f>IF(ISNUMBER((Datos!P19-Datos!Q19+R19)/(Datos!R19-Datos!P19+Datos!Q19-R19)),(Datos!P19-Datos!Q19+R19)/(Datos!R19-Datos!P19+Datos!Q19-R19)," - ")</f>
        <v>-2.5021978765131535E-2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1178.4000000000001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3.2403703492039302</v>
      </c>
      <c r="F21" s="551">
        <f>IF(ISNUMBER(STDEV(F8:F18)),STDEV(F8:F18),"-")</f>
        <v>1305.3889586377438</v>
      </c>
      <c r="G21" s="552">
        <f>IF(ISNUMBER(STDEV(G8:G18)),STDEV(G8:G18),"-")</f>
        <v>1300.3566049357385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1648.1255109972662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398.36307918423216</v>
      </c>
      <c r="BD21" s="551"/>
      <c r="BE21" s="551">
        <f>IF(ISNUMBER(STDEV(BE8:BE18)),STDEV(BE8:BE18),"-")</f>
        <v>0</v>
      </c>
      <c r="BF21" s="556">
        <f>IF(ISNUMBER(STDEV(BF8:BF18)),STDEV(BF8:BF18),"-")</f>
        <v>0</v>
      </c>
      <c r="BG21" s="775">
        <f>IF(ISNUMBER(STDEV(BG8:BG18)),STDEV(BG8:BG18),"-")</f>
        <v>0.21144703947802904</v>
      </c>
      <c r="BH21" s="776">
        <f>IF(ISNUMBER(STDEV(BH8:BH18)),STDEV(BH8:BH18),"-")</f>
        <v>2.4762360970188628</v>
      </c>
      <c r="BI21" s="249">
        <f>IF(ISNUMBER(STDEV(BI8:BI18)),STDEV(BI8:BI18),"-")</f>
        <v>7.5284978282842488E-2</v>
      </c>
      <c r="BJ21" s="230" t="str">
        <f>IF(ISNUMBER(BL21/BM21),BL21/BM21," - ")</f>
        <v xml:space="preserve"> - </v>
      </c>
      <c r="BK21" s="575"/>
      <c r="BL21" s="559">
        <f>IF(ISNUMBER(STDEV(BL8:BL18)),STDEV(BL8:BL18),"-")</f>
        <v>0.64802892839368631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8X8jnQtUryzxmITRR3qYdFNXgOMS7/2hcwp2wMz2TguzZ4J4GGIQm+8rMf9wbRIfWhr9gMlI12pjGrwrY/4uzQ==" saltValue="DosKYl/oUWKxQa2VeT+h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JEREZ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1088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1409</v>
      </c>
      <c r="AA9" s="332" t="str">
        <f>IF(ISNUMBER(IF(J_V="SI",Datos!L9,Datos!L9+Datos!AB9)-IF(Monitorios="SI",Datos!CD9,0)),
                          IF(J_V="SI",Datos!L9,Datos!L9+Datos!AB9)-IF(Monitorios="SI",Datos!CD9,0),
                          " - ")</f>
        <v xml:space="preserve"> - </v>
      </c>
      <c r="AB9" s="334"/>
      <c r="AC9" s="334"/>
      <c r="AD9" s="484"/>
      <c r="AE9" s="484">
        <f>IF(ISNUMBER(Datos!R9),Datos!R9," - ")</f>
        <v>12899</v>
      </c>
      <c r="AF9" s="229" t="str">
        <f>IF(ISNUMBER(Datos!BV9),Datos!BV9," - ")</f>
        <v xml:space="preserve"> - </v>
      </c>
      <c r="AG9" s="225" t="str">
        <f>IF(ISNUMBER(Datos!DV9),Datos!DV9," - ")</f>
        <v xml:space="preserve"> - </v>
      </c>
      <c r="AH9" s="298"/>
      <c r="AI9" s="227"/>
      <c r="AJ9" s="225">
        <f>IF(ISNUMBER(Datos!M9),Datos!M9," - ")</f>
        <v>850</v>
      </c>
      <c r="AK9" s="229">
        <f>IF(ISNUMBER(Datos!N9),Datos!N9," - ")</f>
        <v>1427</v>
      </c>
      <c r="AL9" s="229" t="str">
        <f>IF(ISNUMBER(Datos!BW9),Datos!BW9," - ")</f>
        <v xml:space="preserve"> - </v>
      </c>
      <c r="AM9" s="228" t="str">
        <f>IF(ISNUMBER(Datos!BX9),Datos!BX9," - ")</f>
        <v xml:space="preserve"> - </v>
      </c>
      <c r="AN9" s="243"/>
      <c r="AO9" s="260">
        <f>IF(ISNUMBER(((NºAsuntos!I9/NºAsuntos!G9)*11)/factor_trimestre),((NºAsuntos!I9/NºAsuntos!G9)*11)/factor_trimestre," - ")</f>
        <v>8.2289249806651199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-2.4281391830559759E-2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178</v>
      </c>
      <c r="G10" s="225">
        <f>IF(ISNUMBER(Datos!I10),Datos!I10," - ")</f>
        <v>178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78</v>
      </c>
      <c r="Z10" s="619">
        <f>IF(ISNUMBER(Datos!Q10),Datos!Q10," - ")</f>
        <v>30</v>
      </c>
      <c r="AA10" s="332">
        <f>IF(ISNUMBER(Datos!L10),Datos!L10,"-")</f>
        <v>154</v>
      </c>
      <c r="AB10" s="334"/>
      <c r="AC10" s="334"/>
      <c r="AD10" s="484"/>
      <c r="AE10" s="484">
        <f>IF(ISNUMBER(Datos!R10),Datos!R10," - ")</f>
        <v>135</v>
      </c>
      <c r="AF10" s="229" t="str">
        <f>IF(ISNUMBER(Datos!BV10),Datos!BV10," - ")</f>
        <v xml:space="preserve"> - </v>
      </c>
      <c r="AG10" s="225" t="str">
        <f>IF(ISNUMBER(Datos!DV10),Datos!DV10," - ")</f>
        <v xml:space="preserve"> - </v>
      </c>
      <c r="AH10" s="298"/>
      <c r="AI10" s="227"/>
      <c r="AJ10" s="225">
        <f>IF(ISNUMBER(Datos!M10),Datos!M10," - ")</f>
        <v>38</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5.9230769230769234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-7.5342465753424653E-2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105</v>
      </c>
      <c r="AA11" s="332" t="str">
        <f>IF(ISNUMBER(IF(J_V="SI",Datos!L11,Datos!L11+Datos!AB11)-IF(Monitorios="SI",Datos!CD11,0)),
                          IF(J_V="SI",Datos!L11,Datos!L11+Datos!AB11)-IF(Monitorios="SI",Datos!CD11,0),
                          " - ")</f>
        <v xml:space="preserve"> - </v>
      </c>
      <c r="AB11" s="334"/>
      <c r="AC11" s="334"/>
      <c r="AD11" s="484"/>
      <c r="AE11" s="484">
        <f>IF(ISNUMBER(Datos!R11),Datos!R11," - ")</f>
        <v>920</v>
      </c>
      <c r="AF11" s="229" t="str">
        <f>IF(ISNUMBER(Datos!BV11),Datos!BV11," - ")</f>
        <v xml:space="preserve"> - </v>
      </c>
      <c r="AG11" s="225" t="str">
        <f>IF(ISNUMBER(Datos!DV11),Datos!DV11," - ")</f>
        <v xml:space="preserve"> - </v>
      </c>
      <c r="AH11" s="298"/>
      <c r="AI11" s="227"/>
      <c r="AJ11" s="225">
        <f>IF(ISNUMBER(Datos!M11),Datos!M11," - ")</f>
        <v>180</v>
      </c>
      <c r="AK11" s="229">
        <f>IF(ISNUMBER(Datos!N11),Datos!N11," - ")</f>
        <v>301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5.3531250000000004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-3.2597266035751839E-2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178</v>
      </c>
      <c r="G13" s="898">
        <f>SUBTOTAL(9,G8:G12)</f>
        <v>178</v>
      </c>
      <c r="H13" s="908"/>
      <c r="I13" s="898">
        <f t="shared" ref="I13:N13" si="0">SUBTOTAL(9,I8:I12)</f>
        <v>0</v>
      </c>
      <c r="J13" s="867">
        <f t="shared" si="0"/>
        <v>0</v>
      </c>
      <c r="K13" s="908">
        <f t="shared" si="0"/>
        <v>0</v>
      </c>
      <c r="L13" s="908">
        <f t="shared" si="0"/>
        <v>0</v>
      </c>
      <c r="M13" s="908">
        <f t="shared" si="0"/>
        <v>0</v>
      </c>
      <c r="N13" s="908">
        <f t="shared" si="0"/>
        <v>1181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78</v>
      </c>
      <c r="Z13" s="907">
        <f t="shared" si="2"/>
        <v>1544</v>
      </c>
      <c r="AA13" s="900">
        <f t="shared" si="2"/>
        <v>154</v>
      </c>
      <c r="AB13" s="900">
        <f t="shared" si="2"/>
        <v>0</v>
      </c>
      <c r="AC13" s="900">
        <f t="shared" si="2"/>
        <v>0</v>
      </c>
      <c r="AD13" s="900">
        <f t="shared" si="2"/>
        <v>0</v>
      </c>
      <c r="AE13" s="900">
        <f t="shared" si="2"/>
        <v>13954</v>
      </c>
      <c r="AF13" s="908">
        <f t="shared" si="2"/>
        <v>0</v>
      </c>
      <c r="AG13" s="908">
        <f t="shared" si="2"/>
        <v>0</v>
      </c>
      <c r="AH13" s="908">
        <f t="shared" si="2"/>
        <v>0</v>
      </c>
      <c r="AI13" s="908">
        <f t="shared" si="2"/>
        <v>0</v>
      </c>
      <c r="AJ13" s="908">
        <f t="shared" si="2"/>
        <v>1068</v>
      </c>
      <c r="AK13" s="908">
        <f t="shared" si="2"/>
        <v>1749</v>
      </c>
      <c r="AL13" s="908">
        <f t="shared" si="2"/>
        <v>0</v>
      </c>
      <c r="AM13" s="908">
        <f t="shared" si="2"/>
        <v>0</v>
      </c>
      <c r="AN13" s="908">
        <f t="shared" si="2"/>
        <v>0</v>
      </c>
      <c r="AO13" s="904">
        <f>IF(ISNUMBER(((NºAsuntos!I13/NºAsuntos!G13)*11)/factor_trimestre),((NºAsuntos!I13/NºAsuntos!G13)*11)/factor_trimestre," - ")</f>
        <v>7.7894278877528826</v>
      </c>
      <c r="AP13" s="910" t="str">
        <f>IF(ISNUMBER(Datos!CI13/Datos!CJ13),Datos!CI13/Datos!CJ13," - ")</f>
        <v xml:space="preserve"> - </v>
      </c>
      <c r="AQ13" s="928">
        <f t="shared" ref="AQ13:AV13" si="3">SUBTOTAL(9,AQ9:AQ12)</f>
        <v>0</v>
      </c>
      <c r="AR13" s="928">
        <f t="shared" si="3"/>
        <v>-0.13222112361973626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2439</v>
      </c>
      <c r="G15" s="225">
        <f>IF(ISNUMBER(IF(D_I="SI",Datos!I15,Datos!I15+Datos!AC15)),IF(D_I="SI",Datos!I15,Datos!I15+Datos!AC15)," - ")</f>
        <v>2421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232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2999</v>
      </c>
      <c r="Z15" s="619">
        <f>IF(ISNUMBER(Datos!Q15),Datos!Q15," - ")</f>
        <v>239</v>
      </c>
      <c r="AA15" s="332">
        <f>IF(ISNUMBER(IF(D_I="SI",Datos!L15,Datos!L15+Datos!AF15)),IF(D_I="SI",Datos!L15,Datos!L15+Datos!AF15)," - ")</f>
        <v>2360</v>
      </c>
      <c r="AB15" s="334"/>
      <c r="AC15" s="334"/>
      <c r="AD15" s="484"/>
      <c r="AE15" s="484">
        <f>IF(ISNUMBER(Datos!R15),Datos!R15," - ")</f>
        <v>447</v>
      </c>
      <c r="AF15" s="229" t="str">
        <f>IF(ISNUMBER(Datos!BV15),Datos!BV15," - ")</f>
        <v xml:space="preserve"> - </v>
      </c>
      <c r="AG15" s="225"/>
      <c r="AH15" s="298"/>
      <c r="AI15" s="227"/>
      <c r="AJ15" s="225">
        <f>IF(ISNUMBER(Datos!M15),Datos!M15," - ")</f>
        <v>476</v>
      </c>
      <c r="AK15" s="229">
        <f>IF(ISNUMBER(Datos!N15),Datos!N15," - ")</f>
        <v>1646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2.3607869289763252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347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305</v>
      </c>
      <c r="Z17" s="619">
        <f>IF(ISNUMBER(Datos!Q17),Datos!Q17," - ")</f>
        <v>6</v>
      </c>
      <c r="AA17" s="332">
        <f>IF(ISNUMBER(Datos!L17),Datos!L17,"-")</f>
        <v>339</v>
      </c>
      <c r="AB17" s="334"/>
      <c r="AC17" s="334"/>
      <c r="AD17" s="484"/>
      <c r="AE17" s="484">
        <f>IF(ISNUMBER(Datos!R17),Datos!R17," - ")</f>
        <v>16</v>
      </c>
      <c r="AF17" s="229" t="str">
        <f>IF(ISNUMBER(Datos!BV17),Datos!BV17," - ")</f>
        <v xml:space="preserve"> - </v>
      </c>
      <c r="AG17" s="225" t="str">
        <f>IF(ISNUMBER(Datos!DV17),Datos!DV17," - ")</f>
        <v xml:space="preserve"> - </v>
      </c>
      <c r="AH17" s="298"/>
      <c r="AI17" s="227"/>
      <c r="AJ17" s="225">
        <f>IF(ISNUMBER(Datos!M17),Datos!M17," - ")</f>
        <v>48</v>
      </c>
      <c r="AK17" s="229">
        <f>IF(ISNUMBER(Datos!N17),Datos!N17," - ")</f>
        <v>176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3.3344262295081966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2439</v>
      </c>
      <c r="G18" s="898">
        <f>SUBTOTAL(9,G15:G17)</f>
        <v>2768</v>
      </c>
      <c r="H18" s="932">
        <f>SUBTOTAL(9,H15:H17)</f>
        <v>0</v>
      </c>
      <c r="I18" s="911">
        <f>SUBTOTAL(9,I15:I17)</f>
        <v>0</v>
      </c>
      <c r="J18" s="867">
        <f>SUBTOTAL(9,J14:J17)</f>
        <v>0</v>
      </c>
      <c r="K18" s="932">
        <f t="shared" ref="K18:S18" si="4">SUBTOTAL(9,K15:K17)</f>
        <v>0</v>
      </c>
      <c r="L18" s="932">
        <f t="shared" si="4"/>
        <v>0</v>
      </c>
      <c r="M18" s="932">
        <f t="shared" si="4"/>
        <v>0</v>
      </c>
      <c r="N18" s="932">
        <f t="shared" si="4"/>
        <v>238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3304</v>
      </c>
      <c r="Z18" s="932">
        <f t="shared" si="5"/>
        <v>245</v>
      </c>
      <c r="AA18" s="932">
        <f t="shared" si="5"/>
        <v>2699</v>
      </c>
      <c r="AB18" s="932">
        <f t="shared" si="5"/>
        <v>0</v>
      </c>
      <c r="AC18" s="932">
        <f t="shared" si="5"/>
        <v>0</v>
      </c>
      <c r="AD18" s="932">
        <f t="shared" si="5"/>
        <v>0</v>
      </c>
      <c r="AE18" s="932">
        <f t="shared" si="5"/>
        <v>463</v>
      </c>
      <c r="AF18" s="932">
        <f t="shared" si="5"/>
        <v>0</v>
      </c>
      <c r="AG18" s="932">
        <f t="shared" si="5"/>
        <v>0</v>
      </c>
      <c r="AH18" s="932">
        <f t="shared" si="5"/>
        <v>0</v>
      </c>
      <c r="AI18" s="932">
        <f t="shared" si="5"/>
        <v>0</v>
      </c>
      <c r="AJ18" s="932">
        <f t="shared" si="5"/>
        <v>524</v>
      </c>
      <c r="AK18" s="932">
        <f t="shared" si="5"/>
        <v>1822</v>
      </c>
      <c r="AL18" s="932">
        <f t="shared" si="5"/>
        <v>0</v>
      </c>
      <c r="AM18" s="932">
        <f t="shared" si="5"/>
        <v>0</v>
      </c>
      <c r="AN18" s="932">
        <f t="shared" si="5"/>
        <v>0</v>
      </c>
      <c r="AO18" s="934">
        <f>IF(ISNUMBER(((NºAsuntos!I18/NºAsuntos!G18)*11)/factor_trimestre),((NºAsuntos!I18/NºAsuntos!G18)*11)/factor_trimestre," - ")</f>
        <v>2.4506658595641642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2617</v>
      </c>
      <c r="G19" s="820">
        <f t="shared" si="7"/>
        <v>2946</v>
      </c>
      <c r="H19" s="821">
        <f t="shared" si="7"/>
        <v>0</v>
      </c>
      <c r="I19" s="820">
        <f t="shared" si="7"/>
        <v>0</v>
      </c>
      <c r="J19" s="822">
        <f t="shared" si="7"/>
        <v>0</v>
      </c>
      <c r="K19" s="820">
        <f t="shared" si="7"/>
        <v>0</v>
      </c>
      <c r="L19" s="823">
        <f t="shared" si="7"/>
        <v>0</v>
      </c>
      <c r="M19" s="820">
        <f t="shared" si="7"/>
        <v>0</v>
      </c>
      <c r="N19" s="821">
        <f t="shared" si="7"/>
        <v>1419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3382</v>
      </c>
      <c r="Z19" s="827">
        <f t="shared" si="8"/>
        <v>1789</v>
      </c>
      <c r="AA19" s="828">
        <f t="shared" si="8"/>
        <v>2853</v>
      </c>
      <c r="AB19" s="828">
        <f t="shared" si="8"/>
        <v>0</v>
      </c>
      <c r="AC19" s="828">
        <f t="shared" si="8"/>
        <v>0</v>
      </c>
      <c r="AD19" s="829">
        <f t="shared" si="8"/>
        <v>0</v>
      </c>
      <c r="AE19" s="829">
        <f t="shared" si="8"/>
        <v>14417</v>
      </c>
      <c r="AF19" s="830">
        <f t="shared" si="8"/>
        <v>0</v>
      </c>
      <c r="AG19" s="831">
        <f t="shared" si="8"/>
        <v>0</v>
      </c>
      <c r="AH19" s="832">
        <f t="shared" si="8"/>
        <v>0</v>
      </c>
      <c r="AI19" s="830">
        <f t="shared" si="8"/>
        <v>0</v>
      </c>
      <c r="AJ19" s="820">
        <f t="shared" si="8"/>
        <v>1592</v>
      </c>
      <c r="AK19" s="820">
        <f t="shared" si="8"/>
        <v>3571</v>
      </c>
      <c r="AL19" s="820">
        <f t="shared" si="8"/>
        <v>0</v>
      </c>
      <c r="AM19" s="833">
        <f t="shared" si="8"/>
        <v>0</v>
      </c>
      <c r="AN19" s="823">
        <f>IF(ISNUMBER(Datos!K19/Datos!J19),Datos!K19/Datos!J19," - ")</f>
        <v>1.2036483723855953</v>
      </c>
      <c r="AO19" s="823">
        <f>IF(ISNUMBER(FIND("06",Criterios!A8,1)),(IF(ISNUMBER(((Datos!R19/Datos!Q19)*11)/factor_trimestre),((Datos!R19/Datos!Q19)*11)/factor_trimestre," - ")),(IF(ISNUMBER(((Datos!L19/Datos!K19)*11)/factor_trimestre),((Datos!L19/Datos!K19)*11)/factor_trimestre," - ")))</f>
        <v>5.6249020120198585</v>
      </c>
      <c r="AP19" s="834" t="str">
        <f>IF(ISNUMBER(Datos!CI19/Datos!CJ19),Datos!CI19/Datos!CJ19," - ")</f>
        <v xml:space="preserve"> - </v>
      </c>
      <c r="AQ19" s="834">
        <f>IF(OR(ISNUMBER(FIND("01",Criterios!A8,1)),ISNUMBER(FIND("02",Criterios!A8,1)),ISNUMBER(FIND("03",Criterios!A8,1)),ISNUMBER(FIND("04",Criterios!A8,1))),(J19-Y19+K19)/(F19-K19),(I19-Y19+K19)/(F19-K19))</f>
        <v>-1.2923194497516239</v>
      </c>
      <c r="AR19" s="834">
        <f>IF(ISNUMBER((Datos!P19-Datos!Q19+O19)/(Datos!R19-Datos!P19+Datos!Q19-O19)),(Datos!P19-Datos!Q19+O19)/(Datos!R19-Datos!P19+Datos!Q19-O19)," - ")</f>
        <v>-2.5021978765131535E-2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1178.4000000000001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1305.3889586377438</v>
      </c>
      <c r="G21" s="552">
        <f>IF(ISNUMBER(STDEV(G8:G18)),STDEV(G8:G18),"-")</f>
        <v>1300.3566049357385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398.36307918423216</v>
      </c>
      <c r="AK21" s="252"/>
      <c r="AL21" s="252">
        <f>IF(ISNUMBER(STDEV(AL8:AL18)),STDEV(AL8:AL18),"-")</f>
        <v>0</v>
      </c>
      <c r="AM21" s="254">
        <f>IF(ISNUMBER(STDEV(AM8:AM18)),STDEV(AM8:AM18),"-")</f>
        <v>0</v>
      </c>
      <c r="AN21" s="539">
        <f>IF(ISNUMBER(STDEV(AN8:AN18)),STDEV(AN8:AN18),"-")</f>
        <v>0</v>
      </c>
      <c r="AO21" s="540">
        <f>IF(ISNUMBER(STDEV(AO8:AO18)),STDEV(AO8:AO18),"-")</f>
        <v>2.4288065387581028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rUg6aLjeMHQTmaoci1wGfx5+aw6nRBPt8U0+GZjG7e38//NHRRdqmEXEYLSKQ95p0m9P4cOUJHT1dYlDkG3eg==" saltValue="2ZoU9nd+tLiKzAqTL/g7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7s/fm2MGo797pzy037wYEFlzX2q0llVoArPn9sBMYawlvD/C7YO5NDGGoHnbfsZQpF9IwC/LJPvuC8Ag/ErfA==" saltValue="5JHqB+FEAuRnDMf5nlOK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rk/EZtc1i3BRqRYt+X83GBJTPvWErGRA0LKE1CqgxebJOjDpIv+APFDBocQA59n5Al3gDtXKY/jMqmUgPktAw==" saltValue="q1IS/pvrBxG4OZ4cckVV8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JEREZ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0.23232542962801828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0.16427888673204977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qspPCLhkmVZ7Rnd0ZqnUtDBr9vVB4cNOYCnsRQtVSFqv8y/4m2dVq9DJYS6eShbIjMDYwnoBFzm0poUzaDwqg==" saltValue="wcR2MVCVztqsBtTRp7Lb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MLYiZOVutsCbMgeXKErIHYBvQNnSsvRTvPxwvh1xGAeyRwevY81wkixq/BMhJmVCQw9bCMw85yQKN+KvFUI8A==" saltValue="hZ5jfKIkoXP2GUcE5jjs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JEREZ DE LA FRONTERA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11069</v>
      </c>
      <c r="D9" s="404">
        <f>IF(ISNUMBER(C9/Datos!BH9),C9/Datos!BH9," - ")</f>
        <v>1844.8333333333333</v>
      </c>
      <c r="E9" s="403">
        <f>IF(ISNUMBER(IF(J_V="SI",Datos!J9,Datos!J9+Datos!Z9)),IF(J_V="SI",Datos!J9,Datos!J9+Datos!Z9)," - ")</f>
        <v>2755</v>
      </c>
      <c r="F9" s="404">
        <f>IF(ISNUMBER(E9/B9),E9/B9," - ")</f>
        <v>459.16666666666669</v>
      </c>
      <c r="G9" s="403">
        <f>IF(ISNUMBER(IF(J_V="SI",Datos!K9,Datos!K9+Datos!AA9)),IF(J_V="SI",Datos!K9,Datos!K9+Datos!AA9)," - ")</f>
        <v>3879</v>
      </c>
      <c r="H9" s="404">
        <f>IF(ISNUMBER(G9/B9),G9/B9," - ")</f>
        <v>646.5</v>
      </c>
      <c r="I9" s="403">
        <f>IF(ISNUMBER(IF(J_V="SI",Datos!L9,Datos!L9+Datos!AB9)),IF(J_V="SI",Datos!L9,Datos!L9+Datos!AB9)," - ")</f>
        <v>10640</v>
      </c>
      <c r="J9" s="404">
        <f>IF(ISNUMBER(I9/B9),I9/B9," - ")</f>
        <v>1773.3333333333333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178</v>
      </c>
      <c r="D10" s="404">
        <f>IF(ISNUMBER(C10/Datos!BH10),C10/Datos!BH10," - ")</f>
        <v>178</v>
      </c>
      <c r="E10" s="403">
        <f>IF(ISNUMBER(Datos!J10),Datos!J10," - ")</f>
        <v>54</v>
      </c>
      <c r="F10" s="404">
        <f>IF(ISNUMBER(E10/B10),E10/B10," - ")</f>
        <v>54</v>
      </c>
      <c r="G10" s="403">
        <f>IF(ISNUMBER(Datos!K10),Datos!K10," - ")</f>
        <v>78</v>
      </c>
      <c r="H10" s="404">
        <f>IF(ISNUMBER(G10/B10),G10/B10," - ")</f>
        <v>78</v>
      </c>
      <c r="I10" s="403">
        <f>IF(ISNUMBER(Datos!L10),Datos!L10," - ")</f>
        <v>154</v>
      </c>
      <c r="J10" s="404">
        <f>IF(ISNUMBER(I10/B10),I10/B10," - ")</f>
        <v>154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1127</v>
      </c>
      <c r="D11" s="404">
        <f>IF(ISNUMBER(C11/Datos!BH11),C11/Datos!BH11," - ")</f>
        <v>563.5</v>
      </c>
      <c r="E11" s="403">
        <f>IF(ISNUMBER(IF(J_V="SI",Datos!J11,Datos!J11+Datos!Z11)),IF(J_V="SI",Datos!J11,Datos!J11+Datos!Z11)," - ")</f>
        <v>655</v>
      </c>
      <c r="F11" s="404">
        <f>IF(ISNUMBER(E11/B11),E11/B11," - ")</f>
        <v>327.5</v>
      </c>
      <c r="G11" s="403">
        <f>IF(ISNUMBER(IF(J_V="SI",Datos!K11,Datos!K11+Datos!AA11)),IF(J_V="SI",Datos!K11,Datos!K11+Datos!AA11)," - ")</f>
        <v>640</v>
      </c>
      <c r="H11" s="404">
        <f>IF(ISNUMBER(G11/B11),G11/B11," - ")</f>
        <v>320</v>
      </c>
      <c r="I11" s="403">
        <f>IF(ISNUMBER(IF(J_V="SI",Datos!L11,Datos!L11+Datos!AB11)),IF(J_V="SI",Datos!L11,Datos!L11+Datos!AB11)," - ")</f>
        <v>1142</v>
      </c>
      <c r="J11" s="404">
        <f>IF(ISNUMBER(I11/B11),I11/B11," - ")</f>
        <v>571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12374</v>
      </c>
      <c r="D13" s="850" t="str">
        <f>IF(ISNUMBER(C13/Datos!BI13),C13/Datos!BI13," - ")</f>
        <v xml:space="preserve"> - </v>
      </c>
      <c r="E13" s="849">
        <f>SUBTOTAL(9,E8:E12)</f>
        <v>3464</v>
      </c>
      <c r="F13" s="850">
        <f>IF(ISNUMBER(E13/B13),E13/B13," - ")</f>
        <v>384.88888888888891</v>
      </c>
      <c r="G13" s="849">
        <f>SUBTOTAL(9,G8:G12)</f>
        <v>4597</v>
      </c>
      <c r="H13" s="850">
        <f>IF(ISNUMBER(G13/B13),G13/B13," - ")</f>
        <v>510.77777777777777</v>
      </c>
      <c r="I13" s="849">
        <f>SUBTOTAL(9,I8:I12)</f>
        <v>11936</v>
      </c>
      <c r="J13" s="850">
        <f>IF(ISNUMBER(I13/B13),I13/B13," - ")</f>
        <v>1326.2222222222222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2421</v>
      </c>
      <c r="D15" s="404">
        <f>IF(ISNUMBER(C15/Datos!BH15),C15/Datos!BH15," - ")</f>
        <v>484.2</v>
      </c>
      <c r="E15" s="403">
        <f>IF(ISNUMBER(IF(D_I="SI",Datos!J15,Datos!J15+Datos!AD15)),IF(D_I="SI",Datos!J15,Datos!J15+Datos!AD15)," - ")</f>
        <v>2920</v>
      </c>
      <c r="F15" s="404">
        <f>IF(ISNUMBER(E15/B15),E15/B15," - ")</f>
        <v>584</v>
      </c>
      <c r="G15" s="403">
        <f>IF(ISNUMBER(IF(D_I="SI",Datos!K15,Datos!K15+Datos!AE15)),IF(D_I="SI",Datos!K15,Datos!K15+Datos!AE15)," - ")</f>
        <v>2999</v>
      </c>
      <c r="H15" s="404">
        <f>IF(ISNUMBER(G15/B15),G15/B15," - ")</f>
        <v>599.79999999999995</v>
      </c>
      <c r="I15" s="403">
        <f>IF(ISNUMBER(IF(D_I="SI",Datos!L15,Datos!L15+Datos!AF15)),IF(D_I="SI",Datos!L15,Datos!L15+Datos!AF15)," - ")</f>
        <v>2360</v>
      </c>
      <c r="J15" s="404">
        <f>IF(ISNUMBER(I15/B15),I15/B15," - ")</f>
        <v>472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347</v>
      </c>
      <c r="D17" s="404">
        <f>IF(ISNUMBER(C17/Datos!BH17),C17/Datos!BH17," - ")</f>
        <v>347</v>
      </c>
      <c r="E17" s="403">
        <f>IF(ISNUMBER(IF(D_I="SI",Datos!J17,Datos!J17+Datos!AD17)),IF(D_I="SI",Datos!J17,Datos!J17+Datos!AD17)," - ")</f>
        <v>292</v>
      </c>
      <c r="F17" s="404">
        <f>IF(ISNUMBER(E17/B17),E17/B17," - ")</f>
        <v>292</v>
      </c>
      <c r="G17" s="403">
        <f>IF(ISNUMBER(IF(D_I="SI",Datos!K17,Datos!K17+Datos!AE17)),IF(D_I="SI",Datos!K17,Datos!K17+Datos!AE17)," - ")</f>
        <v>305</v>
      </c>
      <c r="H17" s="404">
        <f>IF(ISNUMBER(G17/B17),G17/B17," - ")</f>
        <v>305</v>
      </c>
      <c r="I17" s="403">
        <f>IF(ISNUMBER(IF(D_I="SI",Datos!L17,Datos!L17+Datos!AF17)),IF(D_I="SI",Datos!L17,Datos!L17+Datos!AF17)," - ")</f>
        <v>339</v>
      </c>
      <c r="J17" s="404">
        <f>IF(ISNUMBER(I17/B17),I17/B17," - ")</f>
        <v>339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2768</v>
      </c>
      <c r="D18" s="850" t="str">
        <f>IF(ISNUMBER(C18/Datos!BI18),C18/Datos!BI18," - ")</f>
        <v xml:space="preserve"> - </v>
      </c>
      <c r="E18" s="849">
        <f>SUBTOTAL(9,E14:E17)</f>
        <v>3212</v>
      </c>
      <c r="F18" s="850">
        <f>IF(ISNUMBER(E18/B18),E18/B18," - ")</f>
        <v>535.33333333333337</v>
      </c>
      <c r="G18" s="849">
        <f>SUBTOTAL(9,G14:G17)</f>
        <v>3304</v>
      </c>
      <c r="H18" s="850">
        <f>IF(ISNUMBER(G18/B18),G18/B18," - ")</f>
        <v>550.66666666666663</v>
      </c>
      <c r="I18" s="849">
        <f>SUBTOTAL(9,I14:I17)</f>
        <v>2699</v>
      </c>
      <c r="J18" s="850">
        <f>IF(ISNUMBER(I18/B18),I18/B18," - ")</f>
        <v>449.83333333333331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15142</v>
      </c>
      <c r="D19" s="795" t="str">
        <f>IF(ISNUMBER(C19/Datos!BI19),C19/Datos!BI19," - ")</f>
        <v xml:space="preserve"> - </v>
      </c>
      <c r="E19" s="794">
        <f>SUBTOTAL(9,E9:E18)</f>
        <v>6676</v>
      </c>
      <c r="F19" s="795">
        <f>IF(ISNUMBER(E19/B19),E19/B19," - ")</f>
        <v>476.85714285714283</v>
      </c>
      <c r="G19" s="794">
        <f>SUBTOTAL(9,G9:G18)</f>
        <v>7901</v>
      </c>
      <c r="H19" s="795">
        <f>IF(ISNUMBER(G19/B19),G19/B19," - ")</f>
        <v>564.35714285714289</v>
      </c>
      <c r="I19" s="794">
        <f>SUBTOTAL(9,I9:I18)</f>
        <v>14635</v>
      </c>
      <c r="J19" s="795">
        <f>IF(ISNUMBER(I19/B19),I19/B19," - ")</f>
        <v>1045.3571428571429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o9Ev1JSB3legiX1PMjrES9HD+LWYbAr3yggcWGmu+RSsQmPTEyGzG6FRJ1qDWrSmYAhNEx/ZeC+5VM5RF+UHw==" saltValue="iblR9k9OTbdiTXLrMMsv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JEREZ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178</v>
      </c>
      <c r="G10" s="684">
        <f>IF(ISNUMBER(Datos!I10),Datos!I10," - ")</f>
        <v>178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78</v>
      </c>
      <c r="AC10" s="683" t="str">
        <f>IF(ISNUMBER(IF(D_I="SI",DatosP!K17,DatosP!K17+DatosP!AE17)),IF(D_I="SI",DatosP!K17,DatosP!K17+DatosP!AE17)," - ")</f>
        <v xml:space="preserve"> - </v>
      </c>
      <c r="AD10" s="685"/>
      <c r="AE10" s="685"/>
      <c r="AF10" s="688">
        <f>IF(ISNUMBER(Datos!L10),Datos!L10,"-")</f>
        <v>154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38</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5.9230769230769234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178</v>
      </c>
      <c r="G13" s="938">
        <f t="shared" si="0"/>
        <v>178</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78</v>
      </c>
      <c r="AC13" s="939">
        <f t="shared" si="1"/>
        <v>0</v>
      </c>
      <c r="AD13" s="939">
        <f t="shared" si="1"/>
        <v>0</v>
      </c>
      <c r="AE13" s="939">
        <f t="shared" si="1"/>
        <v>0</v>
      </c>
      <c r="AF13" s="939">
        <f t="shared" si="1"/>
        <v>154</v>
      </c>
      <c r="AG13" s="939">
        <f t="shared" si="1"/>
        <v>0</v>
      </c>
      <c r="AH13" s="939">
        <f t="shared" si="1"/>
        <v>0</v>
      </c>
      <c r="AI13" s="939">
        <f t="shared" si="1"/>
        <v>0</v>
      </c>
      <c r="AJ13" s="939">
        <f t="shared" si="1"/>
        <v>0</v>
      </c>
      <c r="AK13" s="939">
        <f t="shared" si="1"/>
        <v>0</v>
      </c>
      <c r="AL13" s="939">
        <f t="shared" si="1"/>
        <v>38</v>
      </c>
      <c r="AM13" s="939">
        <f t="shared" si="1"/>
        <v>21</v>
      </c>
      <c r="AN13" s="939">
        <f t="shared" si="1"/>
        <v>0</v>
      </c>
      <c r="AO13" s="939">
        <f t="shared" si="1"/>
        <v>0</v>
      </c>
      <c r="AP13" s="944">
        <f>IF(ISNUMBER(((Datos!L13/Datos!K13)*11)/factor_trimestre),((Datos!L13/Datos!K13)*11)/factor_trimestre," - ")</f>
        <v>8.0358620689655176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-0.43820224719101125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2.4506658595641642</v>
      </c>
      <c r="AQ18" s="944">
        <f>IF(ISNUMBER(((Datos!M18/Datos!L18)*11)/factor_trimestre),((Datos!M18/Datos!L18)*11)/factor_trimestre," - ")</f>
        <v>0.5824379399777696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-1.4893617021276596E-2</v>
      </c>
      <c r="AW18" s="946">
        <f>IF(ISNUMBER((Datos!Q18-Datos!R18)/(Datos!S18-Datos!Q18+Datos!R18)),(Datos!Q18-Datos!R18)/(Datos!S18-Datos!Q18+Datos!R18)," - ")</f>
        <v>-7.4606433949349765E-2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178</v>
      </c>
      <c r="G19" s="951">
        <f t="shared" si="4"/>
        <v>178</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78</v>
      </c>
      <c r="AC19" s="957">
        <f t="shared" si="5"/>
        <v>0</v>
      </c>
      <c r="AD19" s="957">
        <f t="shared" si="5"/>
        <v>0</v>
      </c>
      <c r="AE19" s="957">
        <f t="shared" si="5"/>
        <v>0</v>
      </c>
      <c r="AF19" s="958">
        <f t="shared" si="5"/>
        <v>154</v>
      </c>
      <c r="AG19" s="958">
        <f t="shared" si="5"/>
        <v>0</v>
      </c>
      <c r="AH19" s="958">
        <f t="shared" si="5"/>
        <v>0</v>
      </c>
      <c r="AI19" s="958">
        <f t="shared" si="5"/>
        <v>0</v>
      </c>
      <c r="AJ19" s="959">
        <f t="shared" si="5"/>
        <v>0</v>
      </c>
      <c r="AK19" s="959">
        <f t="shared" si="5"/>
        <v>0</v>
      </c>
      <c r="AL19" s="951">
        <f t="shared" si="5"/>
        <v>38</v>
      </c>
      <c r="AM19" s="951">
        <f t="shared" si="5"/>
        <v>21</v>
      </c>
      <c r="AN19" s="951">
        <f t="shared" si="5"/>
        <v>0</v>
      </c>
      <c r="AO19" s="951">
        <f t="shared" si="5"/>
        <v>0</v>
      </c>
      <c r="AP19" s="951">
        <f>IF(ISNUMBER(((Datos!L19/Datos!K19)*11)/factor_trimestre),((Datos!L19/Datos!K19)*11)/factor_trimestre," - ")</f>
        <v>5.6249020120198585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-0.43820224719101125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-2.5021978765131535E-2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118.66666666666667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102.76834791575338</v>
      </c>
      <c r="G21" s="737">
        <f>IF(ISNUMBER(STDEV(G8:G18)),STDEV(G8:G18),"-")</f>
        <v>102.76834791575338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45.033320996790806</v>
      </c>
      <c r="AC21" s="738">
        <f>IF(ISNUMBER(STDEV(AC8:AC18)),STDEV(AC8:AC18),"-")</f>
        <v>0</v>
      </c>
      <c r="AD21" s="741"/>
      <c r="AE21" s="741"/>
      <c r="AF21" s="741"/>
      <c r="AG21" s="741"/>
      <c r="AH21" s="741"/>
      <c r="AI21" s="741"/>
      <c r="AJ21" s="742">
        <f>IF(ISNUMBER(STDEV(AJ8:AJ18)),STDEV(AJ8:AJ18),"-")</f>
        <v>0</v>
      </c>
      <c r="AK21" s="744"/>
      <c r="AL21" s="736">
        <f>IF(ISNUMBER(STDEV(AL8:AL18)),STDEV(AL8:AL18),"-")</f>
        <v>21.93931022920578</v>
      </c>
      <c r="AM21" s="736"/>
      <c r="AN21" s="736">
        <f>IF(ISNUMBER(STDEV(AN8:AN18)),STDEV(AN8:AN18),"-")</f>
        <v>0</v>
      </c>
      <c r="AO21" s="742">
        <f>IF(ISNUMBER(STDEV(AO8:AO18)),STDEV(AO8:AO18),"-")</f>
        <v>0</v>
      </c>
      <c r="AP21" s="779">
        <f>IF(ISNUMBER(STDEV(AP8:AP18)),STDEV(AP8:AP18),"-")</f>
        <v>2.8200448094609114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31Ccrv5jQUsd1wKR74YmRbcqHMKL1TI/4qUEKSCt0Z4jMl3/HD8ES5vYjC1NloIWw14GE9YP08fQdtkMO5ShQ==" saltValue="t6a7wO3pEKQvCIC0Sxuh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JEREZ DE LA FRONTERA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9iP858sFP6mK9aXQKq87pq9xAFUObwGMUBvmzI797GqRcEgkmQc++fSr0gsA2WT5w6goO3SFLX3ftRXV+0nQ==" saltValue="IcYWbwxss07nEZpRSDWq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JEREZ DE LA FRONTERA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850</v>
      </c>
      <c r="E9" s="404">
        <f t="shared" ref="E9:E13" si="0">IF(ISNUMBER(D9/B9),D9/B9," - ")</f>
        <v>141.66666666666666</v>
      </c>
      <c r="F9" s="403">
        <f>IF(ISNUMBER(Datos!N9),Datos!N9," - ")</f>
        <v>1427</v>
      </c>
      <c r="G9" s="404">
        <f t="shared" ref="G9:G13" si="1">IF(ISNUMBER(F9/B9),F9/B9," - ")</f>
        <v>237.83333333333334</v>
      </c>
      <c r="H9" s="403">
        <f>IF(ISNUMBER(Datos!O9),Datos!O9," - ")</f>
        <v>1623</v>
      </c>
      <c r="I9" s="404">
        <f>IF(ISNUMBER(H9/B9),H9/B9," - ")</f>
        <v>270.5</v>
      </c>
      <c r="BZ9" s="1186">
        <f>Datos!EZ9</f>
        <v>0</v>
      </c>
    </row>
    <row r="10" spans="1:78">
      <c r="A10" s="402" t="str">
        <f>Datos!A10</f>
        <v>Jdos. Violencia contra la mujer</v>
      </c>
      <c r="B10" s="427">
        <f>Datos!AO10</f>
        <v>1</v>
      </c>
      <c r="C10" s="410">
        <f>Datos!AQ10</f>
        <v>1</v>
      </c>
      <c r="D10" s="403">
        <f>IF(ISNUMBER(Datos!M10),Datos!M10," - ")</f>
        <v>38</v>
      </c>
      <c r="E10" s="404">
        <f>IF(ISNUMBER(D10/B10),D10/B10," - ")</f>
        <v>38</v>
      </c>
      <c r="F10" s="403">
        <f>IF(ISNUMBER(Datos!N10),Datos!N10," - ")</f>
        <v>21</v>
      </c>
      <c r="G10" s="404">
        <f>IF(ISNUMBER(F10/B10),F10/B10," - ")</f>
        <v>21</v>
      </c>
      <c r="H10" s="403">
        <f>IF(ISNUMBER(Datos!O10),Datos!O10," - ")</f>
        <v>26</v>
      </c>
      <c r="I10" s="404">
        <f t="shared" ref="I10:I12" si="2">IF(ISNUMBER(H10/B10),H10/B10," - ")</f>
        <v>26</v>
      </c>
      <c r="BZ10" s="1186">
        <f>Datos!EZ10</f>
        <v>0</v>
      </c>
    </row>
    <row r="11" spans="1:78">
      <c r="A11" s="402" t="str">
        <f>Datos!A11</f>
        <v xml:space="preserve">Jdos. Familia                                   </v>
      </c>
      <c r="B11" s="427">
        <f>Datos!AO11</f>
        <v>2</v>
      </c>
      <c r="C11" s="410">
        <f>Datos!AQ11</f>
        <v>2</v>
      </c>
      <c r="D11" s="403">
        <f>IF(ISNUMBER(Datos!M11),Datos!M11," - ")</f>
        <v>180</v>
      </c>
      <c r="E11" s="404">
        <f t="shared" si="0"/>
        <v>90</v>
      </c>
      <c r="F11" s="403">
        <f>IF(ISNUMBER(Datos!N11),Datos!N11," - ")</f>
        <v>301</v>
      </c>
      <c r="G11" s="404">
        <f t="shared" si="1"/>
        <v>150.5</v>
      </c>
      <c r="H11" s="403">
        <f>IF(ISNUMBER(Datos!O11),Datos!O11," - ")</f>
        <v>283</v>
      </c>
      <c r="I11" s="404">
        <f t="shared" si="2"/>
        <v>141.5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1068</v>
      </c>
      <c r="E13" s="850">
        <f t="shared" si="0"/>
        <v>118.66666666666667</v>
      </c>
      <c r="F13" s="849">
        <f>SUBTOTAL(9,F9:F12)</f>
        <v>1749</v>
      </c>
      <c r="G13" s="850">
        <f t="shared" si="1"/>
        <v>194.33333333333334</v>
      </c>
      <c r="H13" s="849">
        <f>SUBTOTAL(9,H9:H12)</f>
        <v>1932</v>
      </c>
      <c r="I13" s="850">
        <f>IF(ISNUMBER(H13/B13),H13/B13," - ")</f>
        <v>214.66666666666666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476</v>
      </c>
      <c r="E15" s="404">
        <f t="shared" ref="E15:E18" si="3">IF(ISNUMBER(D15/B15),D15/B15," - ")</f>
        <v>95.2</v>
      </c>
      <c r="F15" s="403">
        <f>IF(ISNUMBER(Datos!N15),Datos!N15," - ")</f>
        <v>1646</v>
      </c>
      <c r="G15" s="404">
        <f t="shared" ref="G15:G18" si="4">IF(ISNUMBER(F15/B15),F15/B15," - ")</f>
        <v>329.2</v>
      </c>
      <c r="H15" s="403">
        <f>IF(ISNUMBER(Datos!O15),Datos!O15," - ")</f>
        <v>149</v>
      </c>
      <c r="I15" s="404">
        <f t="shared" ref="I15:I17" si="5">IF(ISNUMBER(H15/B15),H15/B15," - ")</f>
        <v>29.8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48</v>
      </c>
      <c r="E17" s="404">
        <f>IF(ISNUMBER(D17/B17),D17/B17," - ")</f>
        <v>48</v>
      </c>
      <c r="F17" s="403">
        <f>IF(ISNUMBER(Datos!N17),Datos!N17," - ")</f>
        <v>176</v>
      </c>
      <c r="G17" s="404">
        <f>IF(ISNUMBER(F17/B17),F17/B17," - ")</f>
        <v>176</v>
      </c>
      <c r="H17" s="403">
        <f>IF(ISNUMBER(Datos!O17),Datos!O17," - ")</f>
        <v>5</v>
      </c>
      <c r="I17" s="404">
        <f t="shared" si="5"/>
        <v>5</v>
      </c>
      <c r="BZ17" s="1186">
        <f>Datos!EZ17</f>
        <v>0</v>
      </c>
    </row>
    <row r="18" spans="1:78" ht="14.25" thickTop="1" thickBot="1">
      <c r="A18" s="848" t="str">
        <f>Datos!A18</f>
        <v>TOTAL</v>
      </c>
      <c r="B18" s="849">
        <f>Datos!AP18</f>
        <v>6</v>
      </c>
      <c r="C18" s="851">
        <f>Datos!AR18</f>
        <v>6</v>
      </c>
      <c r="D18" s="849">
        <f>SUBTOTAL(9,D15:D17)</f>
        <v>524</v>
      </c>
      <c r="E18" s="850">
        <f t="shared" si="3"/>
        <v>87.333333333333329</v>
      </c>
      <c r="F18" s="849">
        <f>SUBTOTAL(9,F15:F17)</f>
        <v>1822</v>
      </c>
      <c r="G18" s="850">
        <f t="shared" si="4"/>
        <v>303.66666666666669</v>
      </c>
      <c r="H18" s="849">
        <f>SUBTOTAL(9,H15:H17)</f>
        <v>154</v>
      </c>
      <c r="I18" s="850">
        <f>IF(ISNUMBER(H18/B18),H18/B18," - ")</f>
        <v>25.666666666666668</v>
      </c>
      <c r="BZ18" s="1186"/>
    </row>
    <row r="19" spans="1:78" ht="14.25" thickTop="1" thickBot="1">
      <c r="A19" s="793" t="str">
        <f>Datos!A19</f>
        <v>TOTAL JURISDICCIONES</v>
      </c>
      <c r="B19" s="794">
        <f>Datos!AP19</f>
        <v>14</v>
      </c>
      <c r="C19" s="794">
        <f>Datos!AR19</f>
        <v>14</v>
      </c>
      <c r="D19" s="794">
        <f>SUBTOTAL(9,D8:D18)</f>
        <v>1592</v>
      </c>
      <c r="E19" s="795">
        <f>IF(ISNUMBER(D19/B19),D19/B19," - ")</f>
        <v>113.71428571428571</v>
      </c>
      <c r="F19" s="794">
        <f>SUBTOTAL(9,F8:F18)</f>
        <v>3571</v>
      </c>
      <c r="G19" s="795">
        <f>IF(ISNUMBER(F19/B19),F19/B19," - ")</f>
        <v>255.07142857142858</v>
      </c>
      <c r="H19" s="794">
        <f>SUBTOTAL(9,H8:H18)</f>
        <v>2086</v>
      </c>
      <c r="I19" s="795">
        <f>IF(ISNUMBER(H19/B19),H19/B19," - ")</f>
        <v>149</v>
      </c>
    </row>
    <row r="22" spans="1:78">
      <c r="A22" s="391" t="str">
        <f>Criterios!A4</f>
        <v>Fecha Informe: 24 sep. 2025</v>
      </c>
    </row>
    <row r="27" spans="1:78">
      <c r="A27" s="414"/>
    </row>
  </sheetData>
  <sheetProtection algorithmName="SHA-512" hashValue="4Y+6GJ/3rAIqA5axPZwDFxRAtqEFtwmqaEBrOEeYt/c0VwpJUk39ceTbu3Beqxnki3P7Qhth+YuyFH/+1Fg6Ow==" saltValue="uNamdVLtI22ZREY6/b6g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JEREZ DE LA FRONTERA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1088</v>
      </c>
      <c r="C9" s="434">
        <f>IF(ISNUMBER(Datos!Q9),Datos!Q9," - ")</f>
        <v>1409</v>
      </c>
      <c r="D9" s="408">
        <f>IF(ISNUMBER(Datos!R9),Datos!R9," - ")</f>
        <v>12899</v>
      </c>
    </row>
    <row r="10" spans="1:4">
      <c r="A10" s="402" t="str">
        <f>Datos!A10</f>
        <v>Jdos. Violencia contra la mujer</v>
      </c>
      <c r="B10" s="433">
        <f>IF(ISNUMBER(Datos!P10),Datos!P10," - ")</f>
        <v>19</v>
      </c>
      <c r="C10" s="434">
        <f>IF(ISNUMBER(Datos!Q10),Datos!Q10," - ")</f>
        <v>30</v>
      </c>
      <c r="D10" s="408">
        <f>IF(ISNUMBER(Datos!R10),Datos!R10," - ")</f>
        <v>135</v>
      </c>
    </row>
    <row r="11" spans="1:4">
      <c r="A11" s="402" t="str">
        <f>Datos!A11</f>
        <v xml:space="preserve">Jdos. Familia                                   </v>
      </c>
      <c r="B11" s="433">
        <f>IF(ISNUMBER(Datos!P11),Datos!P11," - ")</f>
        <v>74</v>
      </c>
      <c r="C11" s="434">
        <f>IF(ISNUMBER(Datos!Q11),Datos!Q11," - ")</f>
        <v>105</v>
      </c>
      <c r="D11" s="408">
        <f>IF(ISNUMBER(Datos!R11),Datos!R11," - ")</f>
        <v>920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1181</v>
      </c>
      <c r="C13" s="853">
        <f>SUBTOTAL(9,C9:C12)</f>
        <v>1544</v>
      </c>
      <c r="D13" s="851">
        <f>SUBTOTAL(9,D9:D12)</f>
        <v>13954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232</v>
      </c>
      <c r="C15" s="434">
        <f>IF(ISNUMBER(Datos!Q15),Datos!Q15," - ")</f>
        <v>239</v>
      </c>
      <c r="D15" s="408">
        <f>IF(ISNUMBER(Datos!R15),Datos!R15," - ")</f>
        <v>447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v>
      </c>
      <c r="C17" s="434">
        <f>IF(ISNUMBER(Datos!Q17),Datos!Q17," - ")</f>
        <v>6</v>
      </c>
      <c r="D17" s="408">
        <f>IF(ISNUMBER(Datos!R17),Datos!R17," - ")</f>
        <v>16</v>
      </c>
    </row>
    <row r="18" spans="1:4" ht="14.25" thickTop="1" thickBot="1">
      <c r="A18" s="848" t="str">
        <f>Datos!A18</f>
        <v>TOTAL</v>
      </c>
      <c r="B18" s="849">
        <f>SUBTOTAL(9,B15:B17)</f>
        <v>238</v>
      </c>
      <c r="C18" s="853">
        <f>SUBTOTAL(9,C15:C17)</f>
        <v>245</v>
      </c>
      <c r="D18" s="851">
        <f>SUBTOTAL(9,D15:D17)</f>
        <v>463</v>
      </c>
    </row>
    <row r="19" spans="1:4" ht="16.5" customHeight="1" thickTop="1" thickBot="1">
      <c r="A19" s="793" t="str">
        <f>Datos!A19</f>
        <v>TOTAL JURISDICCIONES</v>
      </c>
      <c r="B19" s="798">
        <f>SUBTOTAL(9,B8:B18)</f>
        <v>1419</v>
      </c>
      <c r="C19" s="799">
        <f>SUBTOTAL(9,C8:C18)</f>
        <v>1789</v>
      </c>
      <c r="D19" s="800">
        <f>SUBTOTAL(9,D8:D18)</f>
        <v>14417</v>
      </c>
    </row>
    <row r="20" spans="1:4" ht="7.5" customHeight="1"/>
    <row r="21" spans="1:4" ht="6" customHeight="1"/>
    <row r="22" spans="1:4">
      <c r="A22" s="391" t="str">
        <f>Criterios!A4</f>
        <v>Fecha Informe: 24 sep. 2025</v>
      </c>
    </row>
    <row r="27" spans="1:4">
      <c r="A27" s="414"/>
    </row>
  </sheetData>
  <sheetProtection algorithmName="SHA-512" hashValue="8EgEPnkiVn7SbDiuwW4x4rL47fZo/+i8zJL0/+GXITHxg72i+3Ema1aWdXRcFn45/ZQVrlBZgJbxLW3q6FZ9CQ==" saltValue="afZN7/U1MUGBcphcTPIY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JEREZ DE LA FRONTERA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0.35999508539132574</v>
      </c>
      <c r="C9" s="456">
        <f>IF(ISNUMBER(
   IF(J_V="SI",(Datos!J9-Datos!T9)/Datos!T9,(Datos!J9+Datos!Z9-(Datos!T9+Datos!AH9))/(Datos!T9+Datos!AH9))
     ),IF(J_V="SI",(Datos!J9-Datos!T9)/Datos!T9,(Datos!J9+Datos!Z9-(Datos!T9+Datos!AH9))/(Datos!T9+Datos!AH9))," - ")</f>
        <v>-0.18200712589073634</v>
      </c>
      <c r="D9" s="456">
        <f>IF(ISNUMBER(
   IF(J_V="SI",(Datos!K9-Datos!U9)/Datos!U9,(Datos!K9+Datos!AA9-(Datos!U9+Datos!AI9))/(Datos!U9+Datos!AI9))
     ),IF(J_V="SI",(Datos!K9-Datos!U9)/Datos!U9,(Datos!K9+Datos!AA9-(Datos!U9+Datos!AI9))/(Datos!U9+Datos!AI9))," - ")</f>
        <v>0.2672329304148971</v>
      </c>
      <c r="E9" s="456">
        <f>IF(ISNUMBER(
   IF(J_V="SI",(Datos!L9-Datos!V9)/Datos!V9,(Datos!L9+Datos!AB9-(Datos!V9+Datos!AJ9))/(Datos!V9+Datos!AJ9))
     ),IF(J_V="SI",(Datos!L9-Datos!V9)/Datos!V9,(Datos!L9+Datos!AB9-(Datos!V9+Datos!AJ9))/(Datos!V9+Datos!AJ9))," - ")</f>
        <v>0.25976793748520011</v>
      </c>
      <c r="F9" s="456">
        <f>IF(ISNUMBER((Datos!M9-Datos!W9)/Datos!W9),(Datos!M9-Datos!W9)/Datos!W9," - ")</f>
        <v>0.51515151515151514</v>
      </c>
      <c r="G9" s="457">
        <f>IF(ISNUMBER((Datos!N9-Datos!X9)/Datos!X9),(Datos!N9-Datos!X9)/Datos!X9," - ")</f>
        <v>0.53771551724137934</v>
      </c>
      <c r="H9" s="455">
        <f>IF(ISNUMBER(((NºAsuntos!G9/NºAsuntos!E9)-Datos!BD9)/Datos!BD9),((NºAsuntos!G9/NºAsuntos!E9)-Datos!BD9)/Datos!BD9," - ")</f>
        <v>0.54919800712790334</v>
      </c>
      <c r="I9" s="456">
        <f>IF(ISNUMBER(((NºAsuntos!I9/NºAsuntos!G9)-Datos!BE9)/Datos!BE9),((NºAsuntos!I9/NºAsuntos!G9)-Datos!BE9)/Datos!BE9," - ")</f>
        <v>-5.8907819947932299E-3</v>
      </c>
      <c r="J9" s="461">
        <f>IF(ISNUMBER((('Resol  Asuntos'!D9/NºAsuntos!G9)-Datos!BF9)/Datos!BF9),(('Resol  Asuntos'!D9/NºAsuntos!G9)-Datos!BF9)/Datos!BF9," - ")</f>
        <v>-0.27720606537411885</v>
      </c>
      <c r="K9" s="462">
        <f>IF(ISNUMBER((((NºAsuntos!C9+NºAsuntos!E9)/NºAsuntos!G9)-Datos!BG9)/Datos!BG9),(((NºAsuntos!C9+NºAsuntos!E9)/NºAsuntos!G9)-Datos!BG9)/Datos!BG9," - ")</f>
        <v>-5.1985102581561957E-2</v>
      </c>
    </row>
    <row r="10" spans="1:11">
      <c r="A10" s="402" t="str">
        <f>Datos!A10</f>
        <v>Jdos. Violencia contra la mujer</v>
      </c>
      <c r="B10" s="455">
        <f>IF(ISNUMBER((Datos!I10-Datos!S10)/Datos!S10),(Datos!I10-Datos!S10)/Datos!S10," - ")</f>
        <v>-2.7322404371584699E-2</v>
      </c>
      <c r="C10" s="456">
        <f>IF(ISNUMBER((Datos!J10-Datos!T10)/Datos!T10),(Datos!J10-Datos!T10)/Datos!T10," - ")</f>
        <v>-0.4</v>
      </c>
      <c r="D10" s="456">
        <f>IF(ISNUMBER((Datos!K10-Datos!U10)/Datos!U10),(Datos!K10-Datos!U10)/Datos!U10," - ")</f>
        <v>-2.5000000000000001E-2</v>
      </c>
      <c r="E10" s="456">
        <f>IF(ISNUMBER((Datos!L10-Datos!V10)/Datos!V10),(Datos!L10-Datos!V10)/Datos!V10," - ")</f>
        <v>-0.20207253886010362</v>
      </c>
      <c r="F10" s="456">
        <f>IF(ISNUMBER((Datos!M10-Datos!W10)/Datos!W10),(Datos!M10-Datos!W10)/Datos!W10," - ")</f>
        <v>0.26666666666666666</v>
      </c>
      <c r="G10" s="457">
        <f>IF(ISNUMBER((Datos!N10-Datos!X10)/Datos!X10),(Datos!N10-Datos!X10)/Datos!X10," - ")</f>
        <v>-0.36363636363636365</v>
      </c>
      <c r="H10" s="455">
        <f>IF(ISNUMBER(((NºAsuntos!G10/NºAsuntos!E10)-Datos!BD10)/Datos!BD10),((NºAsuntos!G10/NºAsuntos!E10)-Datos!BD10)/Datos!BD10," - ")</f>
        <v>0.62500000000000011</v>
      </c>
      <c r="I10" s="456">
        <f>IF(ISNUMBER(((NºAsuntos!I10/NºAsuntos!G10)-Datos!BE10)/Datos!BE10),((NºAsuntos!I10/NºAsuntos!G10)-Datos!BE10)/Datos!BE10," - ")</f>
        <v>-0.18161286036933705</v>
      </c>
      <c r="J10" s="461">
        <f>IF(ISNUMBER((('Resol  Asuntos'!D10/NºAsuntos!G10)-Datos!BF10)/Datos!BF10),(('Resol  Asuntos'!D10/NºAsuntos!G10)-Datos!BF10)/Datos!BF10," - ")</f>
        <v>0.29914529914529914</v>
      </c>
      <c r="K10" s="462">
        <f>IF(ISNUMBER((((NºAsuntos!C10+NºAsuntos!E10)/NºAsuntos!G10)-Datos!BG10)/Datos!BG10),(((NºAsuntos!C10+NºAsuntos!E10)/NºAsuntos!G10)-Datos!BG10)/Datos!BG10," - ")</f>
        <v>-0.12839297454682069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-0.02</v>
      </c>
      <c r="C11" s="456">
        <f>IF(ISNUMBER(
   IF(J_V="SI",(Datos!J11-Datos!T11)/Datos!T11,(Datos!J11+Datos!Z11-(Datos!T11+Datos!AH11))/(Datos!T11+Datos!AH11))
     ),IF(J_V="SI",(Datos!J11-Datos!T11)/Datos!T11,(Datos!J11+Datos!Z11-(Datos!T11+Datos!AH11))/(Datos!T11+Datos!AH11))," - ")</f>
        <v>0.29191321499013806</v>
      </c>
      <c r="D11" s="456">
        <f>IF(ISNUMBER(
   IF(J_V="SI",(Datos!K11-Datos!U11)/Datos!U11,(Datos!K11+Datos!AA11-(Datos!U11+Datos!AI11))/(Datos!U11+Datos!AI11))
     ),IF(J_V="SI",(Datos!K11-Datos!U11)/Datos!U11,(Datos!K11+Datos!AA11-(Datos!U11+Datos!AI11))/(Datos!U11+Datos!AI11))," - ")</f>
        <v>-0.14666666666666667</v>
      </c>
      <c r="E11" s="456">
        <f>IF(ISNUMBER(
   IF(J_V="SI",(Datos!L11-Datos!V11)/Datos!V11,(Datos!L11+Datos!AB11-(Datos!V11+Datos!AJ11))/(Datos!V11+Datos!AJ11))
     ),IF(J_V="SI",(Datos!L11-Datos!V11)/Datos!V11,(Datos!L11+Datos!AB11-(Datos!V11+Datos!AJ11))/(Datos!V11+Datos!AJ11))," - ")</f>
        <v>0.24945295404814005</v>
      </c>
      <c r="F11" s="456">
        <f>IF(ISNUMBER((Datos!M11-Datos!W11)/Datos!W11),(Datos!M11-Datos!W11)/Datos!W11," - ")</f>
        <v>-0.31034482758620691</v>
      </c>
      <c r="G11" s="457">
        <f>IF(ISNUMBER((Datos!N11-Datos!X11)/Datos!X11),(Datos!N11-Datos!X11)/Datos!X11," - ")</f>
        <v>-0.19518716577540107</v>
      </c>
      <c r="H11" s="455">
        <f>IF(ISNUMBER(((NºAsuntos!G11/NºAsuntos!E11)-Datos!BD11)/Datos!BD11),((NºAsuntos!G11/NºAsuntos!E11)-Datos!BD11)/Datos!BD11," - ")</f>
        <v>-0.33948091603053437</v>
      </c>
      <c r="I11" s="456">
        <f>IF(ISNUMBER(((NºAsuntos!I11/NºAsuntos!G11)-Datos!BE11)/Datos!BE11),((NºAsuntos!I11/NºAsuntos!G11)-Datos!BE11)/Datos!BE11," - ")</f>
        <v>0.46420268052516428</v>
      </c>
      <c r="J11" s="461">
        <f>IF(ISNUMBER((('Resol  Asuntos'!D11/NºAsuntos!G11)-Datos!BF11)/Datos!BF11),(('Resol  Asuntos'!D11/NºAsuntos!G11)-Datos!BF11)/Datos!BF11," - ")</f>
        <v>-0.43599598930481281</v>
      </c>
      <c r="K11" s="462">
        <f>IF(ISNUMBER((((NºAsuntos!C11+NºAsuntos!E11)/NºAsuntos!G11)-Datos!BG11)/Datos!BG11),(((NºAsuntos!C11+NºAsuntos!E11)/NºAsuntos!G11)-Datos!BG11)/Datos!BG11," - ")</f>
        <v>0.26027836451418218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0.3063766891891892</v>
      </c>
      <c r="C13" s="855">
        <f>IF(ISNUMBER(
   IF(J_V="SI",(Datos!J13-Datos!T13)/Datos!T13,(Datos!J13+Datos!Z13-(Datos!T13+Datos!AH13))/(Datos!T13+Datos!AH13))
     ),IF(J_V="SI",(Datos!J13-Datos!T13)/Datos!T13,(Datos!J13+Datos!Z13-(Datos!T13+Datos!AH13))/(Datos!T13+Datos!AH13))," - ")</f>
        <v>-0.12635561160151323</v>
      </c>
      <c r="D13" s="855">
        <f>IF(ISNUMBER(
   IF(J_V="SI",(Datos!K13-Datos!U13)/Datos!U13,(Datos!K13+Datos!AA13-(Datos!U13+Datos!AI13))/(Datos!U13+Datos!AI13))
     ),IF(J_V="SI",(Datos!K13-Datos!U13)/Datos!U13,(Datos!K13+Datos!AA13-(Datos!U13+Datos!AI13))/(Datos!U13+Datos!AI13))," - ")</f>
        <v>0.18144435877666409</v>
      </c>
      <c r="E13" s="855">
        <f>IF(ISNUMBER(
   IF(J_V="SI",(Datos!L13-Datos!V13)/Datos!V13,(Datos!L13+Datos!AB13-(Datos!V13+Datos!AJ13))/(Datos!V13+Datos!AJ13))
     ),IF(J_V="SI",(Datos!L13-Datos!V13)/Datos!V13,(Datos!L13+Datos!AB13-(Datos!V13+Datos!AJ13))/(Datos!V13+Datos!AJ13))," - ")</f>
        <v>0.24945043441850728</v>
      </c>
      <c r="F13" s="856">
        <f>IF(ISNUMBER((Datos!M13-Datos!W13)/Datos!W13),(Datos!M13-Datos!W13)/Datos!W13," - ")</f>
        <v>0.25352112676056338</v>
      </c>
      <c r="G13" s="857">
        <f>IF(ISNUMBER((Datos!N13-Datos!X13)/Datos!X13),(Datos!N13-Datos!X13)/Datos!X13," - ")</f>
        <v>0.31011235955056182</v>
      </c>
      <c r="H13" s="857">
        <f>IF(ISNUMBER(((NºAsuntos!G13/NºAsuntos!E13)-Datos!BD13)/Datos!BD13),((NºAsuntos!G13/NºAsuntos!E13)-Datos!BD13)/Datos!BD13," - ")</f>
        <v>0.35231722937340459</v>
      </c>
      <c r="I13" s="857">
        <f>IF(ISNUMBER(((NºAsuntos!I13/NºAsuntos!G13)-Datos!BE13)/Datos!BE13),((NºAsuntos!I13/NºAsuntos!G13)-Datos!BE13)/Datos!BE13," - ")</f>
        <v>5.7561809946141337E-2</v>
      </c>
      <c r="J13" s="857">
        <f>IF(ISNUMBER((('Resol  Asuntos'!D13/NºAsuntos!G13)-Datos!BF13)/Datos!BF13),(('Resol  Asuntos'!D13/NºAsuntos!G13)-Datos!BF13)/Datos!BF13," - ")</f>
        <v>-0.32133765264067637</v>
      </c>
      <c r="K13" s="857">
        <f>IF(ISNUMBER((((NºAsuntos!C13+NºAsuntos!E13)/NºAsuntos!G13)-Datos!BG13)/Datos!BG13),(((NºAsuntos!C13+NºAsuntos!E13)/NºAsuntos!G13)-Datos!BG13)/Datos!BG13," - ")</f>
        <v>-2.334972627197058E-3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1.2547051442910916E-2</v>
      </c>
      <c r="C15" s="456">
        <f>IF(ISNUMBER(
   IF(D_I="SI",(Datos!J15-Datos!T15)/Datos!T15,(Datos!J15+Datos!AD15-(Datos!T15+Datos!AL15))/(Datos!T15+Datos!AL15))
     ),IF(D_I="SI",(Datos!J15-Datos!T15)/Datos!T15,(Datos!J15+Datos!AD15-(Datos!T15+Datos!AL15))/(Datos!T15+Datos!AL15))," - ")</f>
        <v>-0.11056960097471824</v>
      </c>
      <c r="D15" s="456">
        <f>IF(ISNUMBER(
   IF(D_I="SI",(Datos!K15-Datos!U15)/Datos!U15,(Datos!K15+Datos!AE15-(Datos!U15+Datos!AM15))/(Datos!U15+Datos!AM15))
     ),IF(D_I="SI",(Datos!K15-Datos!U15)/Datos!U15,(Datos!K15+Datos!AE15-(Datos!U15+Datos!AM15))/(Datos!U15+Datos!AM15))," - ")</f>
        <v>-0.11871877754922128</v>
      </c>
      <c r="E15" s="456">
        <f>IF(ISNUMBER(
   IF(D_I="SI",(Datos!L15-Datos!V15)/Datos!V15,(Datos!L15+Datos!AF15-(Datos!V15+Datos!AN15))/(Datos!V15+Datos!AN15))
     ),IF(D_I="SI",(Datos!L15-Datos!V15)/Datos!V15,(Datos!L15+Datos!AF15-(Datos!V15+Datos!AN15))/(Datos!V15+Datos!AN15))," - ")</f>
        <v>2.0319930825767402E-2</v>
      </c>
      <c r="F15" s="456">
        <f>IF(ISNUMBER((Datos!M15-Datos!W15)/Datos!W15),(Datos!M15-Datos!W15)/Datos!W15," - ")</f>
        <v>-0.32097004279600572</v>
      </c>
      <c r="G15" s="457">
        <f>IF(ISNUMBER((Datos!N15-Datos!X15)/Datos!X15),(Datos!N15-Datos!X15)/Datos!X15," - ")</f>
        <v>-0.14136671883150756</v>
      </c>
      <c r="H15" s="455">
        <f>IF(ISNUMBER(((NºAsuntos!G15/NºAsuntos!E15)-Datos!BD15)/Datos!BD15),((NºAsuntos!G15/NºAsuntos!E15)-Datos!BD15)/Datos!BD15," - ")</f>
        <v>-9.1622420185251078E-3</v>
      </c>
      <c r="I15" s="456">
        <f>IF(ISNUMBER(((NºAsuntos!I15/NºAsuntos!G15)-Datos!BE15)/Datos!BE15),((NºAsuntos!I15/NºAsuntos!G15)-Datos!BE15)/Datos!BE15," - ")</f>
        <v>0.15776883114374338</v>
      </c>
      <c r="J15" s="461">
        <f>IF(ISNUMBER((('Resol  Asuntos'!D15/NºAsuntos!G15)-Datos!BF15)/Datos!BF15),(('Resol  Asuntos'!D15/NºAsuntos!G15)-Datos!BF15)/Datos!BF15," - ")</f>
        <v>-0.22949685082854526</v>
      </c>
      <c r="K15" s="462">
        <f>IF(ISNUMBER((((NºAsuntos!C15+NºAsuntos!E15)/NºAsuntos!G15)-Datos!BG15)/Datos!BG15),(((NºAsuntos!C15+NºAsuntos!E15)/NºAsuntos!G15)-Datos!BG15)/Datos!BG15," - ")</f>
        <v>6.8116760339452812E-2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0.10862619808306709</v>
      </c>
      <c r="C17" s="456">
        <f>IF(ISNUMBER(
   IF(D_I="SI",(Datos!J17-Datos!T17)/Datos!T17,(Datos!J17+Datos!AD17-(Datos!T17+Datos!AL17))/(Datos!T17+Datos!AL17))
     ),IF(D_I="SI",(Datos!J17-Datos!T17)/Datos!T17,(Datos!J17+Datos!AD17-(Datos!T17+Datos!AL17))/(Datos!T17+Datos!AL17))," - ")</f>
        <v>-0.32563510392609701</v>
      </c>
      <c r="D17" s="456">
        <f>IF(ISNUMBER(
   IF(D_I="SI",(Datos!K17-Datos!U17)/Datos!U17,(Datos!K17+Datos!AE17-(Datos!U17+Datos!AM17))/(Datos!U17+Datos!AM17))
     ),IF(D_I="SI",(Datos!K17-Datos!U17)/Datos!U17,(Datos!K17+Datos!AE17-(Datos!U17+Datos!AM17))/(Datos!U17+Datos!AM17))," - ")</f>
        <v>-0.21391752577319587</v>
      </c>
      <c r="E17" s="456">
        <f>IF(ISNUMBER(
   IF(D_I="SI",(Datos!L17-Datos!V17)/Datos!V17,(Datos!L17+Datos!AF17-(Datos!V17+Datos!AN17))/(Datos!V17+Datos!AN17))
     ),IF(D_I="SI",(Datos!L17-Datos!V17)/Datos!V17,(Datos!L17+Datos!AF17-(Datos!V17+Datos!AN17))/(Datos!V17+Datos!AN17))," - ")</f>
        <v>-6.3535911602209949E-2</v>
      </c>
      <c r="F17" s="456">
        <f>IF(ISNUMBER((Datos!M17-Datos!W17)/Datos!W17),(Datos!M17-Datos!W17)/Datos!W17," - ")</f>
        <v>0.14285714285714285</v>
      </c>
      <c r="G17" s="457">
        <f>IF(ISNUMBER((Datos!N17-Datos!X17)/Datos!X17),(Datos!N17-Datos!X17)/Datos!X17," - ")</f>
        <v>-6.3829787234042548E-2</v>
      </c>
      <c r="H17" s="455">
        <f>IF(ISNUMBER(((NºAsuntos!G17/NºAsuntos!E17)-Datos!BD17)/Datos!BD17),((NºAsuntos!G17/NºAsuntos!E17)-Datos!BD17)/Datos!BD17," - ")</f>
        <v>0.16566339500070615</v>
      </c>
      <c r="I17" s="456">
        <f>IF(ISNUMBER(((NºAsuntos!I17/NºAsuntos!G17)-Datos!BE17)/Datos!BE17),((NºAsuntos!I17/NºAsuntos!G17)-Datos!BE17)/Datos!BE17," - ")</f>
        <v>0.19130513540440169</v>
      </c>
      <c r="J17" s="461">
        <f>IF(ISNUMBER((('Resol  Asuntos'!D17/NºAsuntos!G17)-Datos!BF17)/Datos!BF17),(('Resol  Asuntos'!D17/NºAsuntos!G17)-Datos!BF17)/Datos!BF17," - ")</f>
        <v>0.45386416861826706</v>
      </c>
      <c r="K17" s="462">
        <f>IF(ISNUMBER((((NºAsuntos!C17+NºAsuntos!E17)/NºAsuntos!G17)-Datos!BG17)/Datos!BG17),(((NºAsuntos!C17+NºAsuntos!E17)/NºAsuntos!G17)-Datos!BG17)/Datos!BG17," - ")</f>
        <v>8.9667296620225947E-2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2.3668639053254437E-2</v>
      </c>
      <c r="C18" s="855">
        <f>IF(ISNUMBER(
   IF(Criterios!B14="SI",(Datos!J18-Datos!T18)/Datos!T18,(Datos!J18+Datos!AD18-(Datos!T18+Datos!AL18))/(Datos!T18+Datos!AL18))
     ),IF(Criterios!B14="SI",(Datos!J18-Datos!T18)/Datos!T18,(Datos!J18+Datos!AD18-(Datos!T18+Datos!AL18))/(Datos!T18+Datos!AL18))," - ")</f>
        <v>-0.13562970936490851</v>
      </c>
      <c r="D18" s="855">
        <f>IF(ISNUMBER(
   IF(Criterios!B14="SI",(Datos!K18-Datos!U18)/Datos!U18,(Datos!K18+Datos!AE18-(Datos!U18+Datos!AM18))/(Datos!U18+Datos!AM18))
     ),IF(Criterios!B14="SI",(Datos!K18-Datos!U18)/Datos!U18,(Datos!K18+Datos!AE18-(Datos!U18+Datos!AM18))/(Datos!U18+Datos!AM18))," - ")</f>
        <v>-0.12846214719071486</v>
      </c>
      <c r="E18" s="855">
        <f>IF(ISNUMBER(
   IF(Criterios!B14="SI",(Datos!L18-Datos!V18)/Datos!V18,(Datos!L18+Datos!AF18-(Datos!V18+Datos!AN18))/(Datos!V18+Datos!AN18))
     ),IF(Criterios!B14="SI",(Datos!L18-Datos!V18)/Datos!V18,(Datos!L18+Datos!AF18-(Datos!V18+Datos!AN18))/(Datos!V18+Datos!AN18))," - ")</f>
        <v>8.9719626168224299E-3</v>
      </c>
      <c r="F18" s="856">
        <f>IF(ISNUMBER((Datos!M18-Datos!W18)/Datos!W18),(Datos!M18-Datos!W18)/Datos!W18," - ")</f>
        <v>-0.29475100942126514</v>
      </c>
      <c r="G18" s="857">
        <f>IF(ISNUMBER((Datos!N18-Datos!X18)/Datos!X18),(Datos!N18-Datos!X18)/Datos!X18," - ")</f>
        <v>-0.13444180522565322</v>
      </c>
      <c r="H18" s="857">
        <f>IF(ISNUMBER(((NºAsuntos!G18/NºAsuntos!E18)-Datos!BD18)/Datos!BD18),((NºAsuntos!G18/NºAsuntos!E18)-Datos!BD18)/Datos!BD18," - ")</f>
        <v>8.2922356909412975E-3</v>
      </c>
      <c r="I18" s="857">
        <f>IF(ISNUMBER(((NºAsuntos!I18/NºAsuntos!G18)-Datos!BE18)/Datos!BE18),((NºAsuntos!I18/NºAsuntos!G18)-Datos!BE18)/Datos!BE18," - ")</f>
        <v>0.15769149826887818</v>
      </c>
      <c r="J18" s="857">
        <f>IF(ISNUMBER((('Resol  Asuntos'!D18/NºAsuntos!G18)-Datos!BF18)/Datos!BF18),(('Resol  Asuntos'!D18/NºAsuntos!G18)-Datos!BF18)/Datos!BF18," - ")</f>
        <v>-0.19079935735956904</v>
      </c>
      <c r="K18" s="857">
        <f>IF(ISNUMBER((((NºAsuntos!C18+NºAsuntos!E18)/NºAsuntos!G18)-Datos!BG18)/Datos!BG18),(((NºAsuntos!C18+NºAsuntos!E18)/NºAsuntos!G18)-Datos!BG18)/Datos!BG18," - ")</f>
        <v>6.8759287336033661E-2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0.24359395532194481</v>
      </c>
      <c r="C19" s="802">
        <f>IF(ISNUMBER(
   IF(J_V="SI",(Datos!J19-Datos!T19)/Datos!T19,(Datos!J19+Datos!Z19-(Datos!T19+Datos!AH19))/(Datos!T19+Datos!AH19))
     ),IF(J_V="SI",(Datos!J19-Datos!T19)/Datos!T19,(Datos!J19+Datos!Z19-(Datos!T19+Datos!AH19))/(Datos!T19+Datos!AH19))," - ")</f>
        <v>-0.1308423382372087</v>
      </c>
      <c r="D19" s="802">
        <f>IF(ISNUMBER(
   IF(J_V="SI",(Datos!K19-Datos!U19)/Datos!U19,(Datos!K19+Datos!AA19-(Datos!U19+Datos!AI19))/(Datos!U19+Datos!AI19))
     ),IF(J_V="SI",(Datos!K19-Datos!U19)/Datos!U19,(Datos!K19+Datos!AA19-(Datos!U19+Datos!AI19))/(Datos!U19+Datos!AI19))," - ")</f>
        <v>2.8508200989325695E-2</v>
      </c>
      <c r="E19" s="802">
        <f>IF(ISNUMBER(
   IF(J_V="SI",(Datos!L19-Datos!V19)/Datos!V19,(Datos!L19+Datos!AB19-(Datos!V19+Datos!AJ19))/(Datos!V19+Datos!AJ19))
     ),IF(J_V="SI",(Datos!L19-Datos!V19)/Datos!V19,(Datos!L19+Datos!AB19-(Datos!V19+Datos!AJ19))/(Datos!V19+Datos!AJ19))," - ")</f>
        <v>0.19684331043506706</v>
      </c>
      <c r="F19" s="803">
        <f>IF(ISNUMBER((Datos!M19-Datos!W19)/Datos!W19),(Datos!M19-Datos!W19)/Datos!W19," - ")</f>
        <v>-1.8808777429467085E-3</v>
      </c>
      <c r="G19" s="804">
        <f>IF(ISNUMBER((Datos!N19-Datos!X19)/Datos!X19),(Datos!N19-Datos!X19)/Datos!X19," - ")</f>
        <v>3.8081395348837206E-2</v>
      </c>
      <c r="H19" s="805">
        <f>IF(ISNUMBER((Tasas!B19-Datos!BD19)/Datos!BD19),(Tasas!B19-Datos!BD19)/Datos!BD19," - ")</f>
        <v>0.18333904910111007</v>
      </c>
      <c r="I19" s="806">
        <f>IF(ISNUMBER((Tasas!C19-Datos!BE19)/Datos!BE19),(Tasas!C19-Datos!BE19)/Datos!BE19," - ")</f>
        <v>0.16366919513506964</v>
      </c>
      <c r="J19" s="807">
        <f>IF(ISNUMBER((Tasas!D19-Datos!BF19)/Datos!BF19),(Tasas!D19-Datos!BF19)/Datos!BF19," - ")</f>
        <v>-0.25403714338432082</v>
      </c>
      <c r="K19" s="807">
        <f>IF(ISNUMBER((Tasas!E19-Datos!BG19)/Datos!BG19),(Tasas!E19-Datos!BG19)/Datos!BG19," - ")</f>
        <v>6.8300773005154206E-2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3PETWqkY+fkmJNG4eB07e3Ib3lIt3cCIilWkZVge22yAU2MP50XEpCjW4M/+pWgMnJ6fhXzuE83FTmw92R3Zw==" saltValue="bcu3qawYOJgl1f/bA4mN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JEREZ DE LA FRONTERA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1.4079854809437387</v>
      </c>
      <c r="C9" s="443">
        <f>IF(ISNUMBER(NºAsuntos!I9/NºAsuntos!G9),NºAsuntos!I9/NºAsuntos!G9," - ")</f>
        <v>2.7429749935550398</v>
      </c>
      <c r="D9" s="444">
        <f>IF(ISNUMBER('Resol  Asuntos'!D9/NºAsuntos!G9),'Resol  Asuntos'!D9/NºAsuntos!G9," - ")</f>
        <v>0.2191286414024233</v>
      </c>
      <c r="E9" s="445">
        <f>IF(ISNUMBER((NºAsuntos!C9+NºAsuntos!E9)/NºAsuntos!G9),(NºAsuntos!C9+NºAsuntos!E9)/NºAsuntos!G9," - ")</f>
        <v>3.5638051044083525</v>
      </c>
      <c r="G9" s="463"/>
    </row>
    <row r="10" spans="1:7">
      <c r="A10" s="402" t="str">
        <f>Datos!A10</f>
        <v>Jdos. Violencia contra la mujer</v>
      </c>
      <c r="B10" s="442">
        <f>IF(ISNUMBER(NºAsuntos!G10/NºAsuntos!E10),NºAsuntos!G10/NºAsuntos!E10," - ")</f>
        <v>1.4444444444444444</v>
      </c>
      <c r="C10" s="443">
        <f>IF(ISNUMBER(NºAsuntos!I10/NºAsuntos!G10),NºAsuntos!I10/NºAsuntos!G10," - ")</f>
        <v>1.9743589743589745</v>
      </c>
      <c r="D10" s="444">
        <f>IF(ISNUMBER('Resol  Asuntos'!D10/NºAsuntos!G10),'Resol  Asuntos'!D10/NºAsuntos!G10," - ")</f>
        <v>0.48717948717948717</v>
      </c>
      <c r="E10" s="445">
        <f>IF(ISNUMBER((NºAsuntos!C10+NºAsuntos!E10)/NºAsuntos!G10),(NºAsuntos!C10+NºAsuntos!E10)/NºAsuntos!G10," - ")</f>
        <v>2.9743589743589745</v>
      </c>
      <c r="G10" s="463"/>
    </row>
    <row r="11" spans="1:7">
      <c r="A11" s="402" t="str">
        <f>Datos!A11</f>
        <v xml:space="preserve">Jdos. Familia                                   </v>
      </c>
      <c r="B11" s="442">
        <f>IF(ISNUMBER(NºAsuntos!G11/NºAsuntos!E11),NºAsuntos!G11/NºAsuntos!E11," - ")</f>
        <v>0.97709923664122134</v>
      </c>
      <c r="C11" s="443">
        <f>IF(ISNUMBER(NºAsuntos!I11/NºAsuntos!G11),NºAsuntos!I11/NºAsuntos!G11," - ")</f>
        <v>1.784375</v>
      </c>
      <c r="D11" s="444">
        <f>IF(ISNUMBER('Resol  Asuntos'!D11/NºAsuntos!G11),'Resol  Asuntos'!D11/NºAsuntos!G11," - ")</f>
        <v>0.28125</v>
      </c>
      <c r="E11" s="445">
        <f>IF(ISNUMBER((NºAsuntos!C11+NºAsuntos!E11)/NºAsuntos!G11),(NºAsuntos!C11+NºAsuntos!E11)/NºAsuntos!G11," - ")</f>
        <v>2.7843749999999998</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1.3270785219399539</v>
      </c>
      <c r="C13" s="859">
        <f>IF(ISNUMBER(NºAsuntos!I13/NºAsuntos!G13),NºAsuntos!I13/NºAsuntos!G13," - ")</f>
        <v>2.5964759625842939</v>
      </c>
      <c r="D13" s="860">
        <f>IF(ISNUMBER('Resol  Asuntos'!D13/NºAsuntos!G13),'Resol  Asuntos'!D13/NºAsuntos!G13," - ")</f>
        <v>0.23232542962801828</v>
      </c>
      <c r="E13" s="861">
        <f>IF(ISNUMBER((NºAsuntos!C13+NºAsuntos!E13)/NºAsuntos!G13),(NºAsuntos!C13+NºAsuntos!E13)/NºAsuntos!G13," - ")</f>
        <v>3.4452904067870351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1.0270547945205479</v>
      </c>
      <c r="C15" s="443">
        <f>IF(ISNUMBER(NºAsuntos!I15/NºAsuntos!G15),NºAsuntos!I15/NºAsuntos!G15," - ")</f>
        <v>0.78692897632544179</v>
      </c>
      <c r="D15" s="444">
        <f>IF(ISNUMBER('Resol  Asuntos'!D15/NºAsuntos!G15),'Resol  Asuntos'!D15/NºAsuntos!G15," - ")</f>
        <v>0.1587195731910637</v>
      </c>
      <c r="E15" s="445">
        <f>IF(ISNUMBER((NºAsuntos!C15+NºAsuntos!E15)/NºAsuntos!G15),(NºAsuntos!C15+NºAsuntos!E15)/NºAsuntos!G15," - ")</f>
        <v>1.7809269756585528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1.0445205479452055</v>
      </c>
      <c r="C17" s="443">
        <f>IF(ISNUMBER(NºAsuntos!I17/NºAsuntos!G17),NºAsuntos!I17/NºAsuntos!G17," - ")</f>
        <v>1.1114754098360655</v>
      </c>
      <c r="D17" s="444">
        <f>IF(ISNUMBER('Resol  Asuntos'!D17/NºAsuntos!G17),'Resol  Asuntos'!D17/NºAsuntos!G17," - ")</f>
        <v>0.15737704918032788</v>
      </c>
      <c r="E17" s="445">
        <f>IF(ISNUMBER((NºAsuntos!C17+NºAsuntos!E17)/NºAsuntos!G17),(NºAsuntos!C17+NºAsuntos!E17)/NºAsuntos!G17," - ")</f>
        <v>2.0950819672131149</v>
      </c>
      <c r="G17" s="463"/>
    </row>
    <row r="18" spans="1:7" ht="14.25" thickTop="1" thickBot="1">
      <c r="A18" s="848" t="str">
        <f>Datos!A18</f>
        <v>TOTAL</v>
      </c>
      <c r="B18" s="858">
        <f>IF(ISNUMBER(NºAsuntos!G18/NºAsuntos!E18),NºAsuntos!G18/NºAsuntos!E18," - ")</f>
        <v>1.0286425902864258</v>
      </c>
      <c r="C18" s="859">
        <f>IF(ISNUMBER(NºAsuntos!I18/NºAsuntos!G18),NºAsuntos!I18/NºAsuntos!G18," - ")</f>
        <v>0.8168886198547215</v>
      </c>
      <c r="D18" s="862">
        <f>IF(ISNUMBER('Resol  Asuntos'!D18/NºAsuntos!G18),'Resol  Asuntos'!D18/NºAsuntos!G18," - ")</f>
        <v>0.15859564164648909</v>
      </c>
      <c r="E18" s="861">
        <f>IF(ISNUMBER((NºAsuntos!C18+NºAsuntos!E18)/NºAsuntos!G18),(NºAsuntos!C18+NºAsuntos!E18)/NºAsuntos!G18," - ")</f>
        <v>1.8099273607748183</v>
      </c>
      <c r="G18" s="463"/>
    </row>
    <row r="19" spans="1:7" ht="15.75" customHeight="1" thickTop="1" thickBot="1">
      <c r="A19" s="793" t="str">
        <f>Datos!A19</f>
        <v>TOTAL JURISDICCIONES</v>
      </c>
      <c r="B19" s="808">
        <f>IF(ISNUMBER(NºAsuntos!G19/NºAsuntos!E19),NºAsuntos!G19/NºAsuntos!E19," - ")</f>
        <v>1.1834931096464949</v>
      </c>
      <c r="C19" s="809">
        <f>IF(ISNUMBER(NºAsuntos!I19/NºAsuntos!G19),NºAsuntos!I19/NºAsuntos!G19," - ")</f>
        <v>1.8522971775724593</v>
      </c>
      <c r="D19" s="810">
        <f>IF(ISNUMBER('Resol  Asuntos'!D19/NºAsuntos!G19),'Resol  Asuntos'!D19/NºAsuntos!G19," - ")</f>
        <v>0.20149348183774204</v>
      </c>
      <c r="E19" s="811">
        <f>IF(ISNUMBER((NºAsuntos!C19+NºAsuntos!E19)/NºAsuntos!G19),(NºAsuntos!C19+NºAsuntos!E19)/NºAsuntos!G19," - ")</f>
        <v>2.7614226047335779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uKN8X/We2pYTbL7uPNIm2t2mLbetIVqwdmOYjXbabFDLYnbLFmiAF1Mx4NlucHFOWA1nu1TFFLW7ZdxPNvm6A==" saltValue="Gyyrf83QPncK0z7xxHlS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JEREZ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1088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1409</v>
      </c>
      <c r="Y9" s="334">
        <f>SUM(W9:X9)</f>
        <v>1409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12899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850</v>
      </c>
      <c r="AJ9" s="229" t="str">
        <f>IF(ISNUMBER(Datos!BW9),Datos!BW9," - ")</f>
        <v xml:space="preserve"> - </v>
      </c>
      <c r="AK9" s="228" t="str">
        <f>IF(ISNUMBER(Datos!BX9),Datos!BX9," - ")</f>
        <v xml:space="preserve"> - </v>
      </c>
      <c r="AL9" s="243">
        <f>IF(ISNUMBER(NºAsuntos!G9/NºAsuntos!E9),NºAsuntos!G9/NºAsuntos!E9," - ")</f>
        <v>1.4079854809437387</v>
      </c>
      <c r="AM9" s="260">
        <f>IF(ISNUMBER(((NºAsuntos!I9/NºAsuntos!G9)*11)/factor_trimestre),((NºAsuntos!I9/NºAsuntos!G9)*11)/factor_trimestre," - ")</f>
        <v>8.2289249806651199</v>
      </c>
      <c r="AN9" s="244">
        <f>IF(ISNUMBER('Resol  Asuntos'!D9/NºAsuntos!G9),'Resol  Asuntos'!D9/NºAsuntos!G9," - ")</f>
        <v>0.2191286414024233</v>
      </c>
      <c r="AO9" s="245">
        <f>IF(ISNUMBER((NºAsuntos!C9+NºAsuntos!E9)/NºAsuntos!G9),(NºAsuntos!C9+NºAsuntos!E9)/NºAsuntos!G9," - ")</f>
        <v>3.5638051044083525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178</v>
      </c>
      <c r="G10" s="333">
        <f>IF(ISNUMBER(Datos!I10),Datos!I10," - ")</f>
        <v>178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78</v>
      </c>
      <c r="X10" s="226">
        <f>IF(ISNUMBER(Datos!Q10),Datos!Q10," - ")</f>
        <v>30</v>
      </c>
      <c r="Y10" s="334">
        <f t="shared" ref="Y10:Y12" si="0">SUM(W10:X10)</f>
        <v>108</v>
      </c>
      <c r="Z10" s="335" t="str">
        <f>IF(ISNUMBER(Datos!CC10),Datos!CC10," - ")</f>
        <v xml:space="preserve"> - </v>
      </c>
      <c r="AA10" s="332">
        <f>IF(ISNUMBER(Datos!L10),Datos!L10,"-")</f>
        <v>154</v>
      </c>
      <c r="AB10" s="334">
        <f>IF(ISNUMBER(Datos!R10),Datos!R10," - ")</f>
        <v>135</v>
      </c>
      <c r="AC10" s="334">
        <f t="shared" ref="AC10:AC12" si="1">IF(ISNUMBER(AA10+AB10),AA10+AB10," - ")</f>
        <v>289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38</v>
      </c>
      <c r="AJ10" s="231" t="str">
        <f>IF(ISNUMBER(Datos!BW10),Datos!BW10," - ")</f>
        <v xml:space="preserve"> - </v>
      </c>
      <c r="AK10" s="232" t="str">
        <f>IF(ISNUMBER(Datos!BX10),Datos!BX10," - ")</f>
        <v xml:space="preserve"> - </v>
      </c>
      <c r="AL10" s="243">
        <f>IF(ISNUMBER(NºAsuntos!G10/NºAsuntos!E10),NºAsuntos!G10/NºAsuntos!E10," - ")</f>
        <v>1.4444444444444444</v>
      </c>
      <c r="AM10" s="260">
        <f>IF(ISNUMBER(((NºAsuntos!I10/NºAsuntos!G10)*11)/factor_trimestre),((NºAsuntos!I10/NºAsuntos!G10)*11)/factor_trimestre," - ")</f>
        <v>5.9230769230769234</v>
      </c>
      <c r="AN10" s="244">
        <f>IF(ISNUMBER('Resol  Asuntos'!D10/NºAsuntos!G10),'Resol  Asuntos'!D10/NºAsuntos!G10," - ")</f>
        <v>0.48717948717948717</v>
      </c>
      <c r="AO10" s="245">
        <f>IF(ISNUMBER((NºAsuntos!C10+NºAsuntos!E10)/NºAsuntos!G10),(NºAsuntos!C10+NºAsuntos!E10)/NºAsuntos!G10," - ")</f>
        <v>2.9743589743589745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105</v>
      </c>
      <c r="Y11" s="334">
        <f t="shared" si="0"/>
        <v>105</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920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180</v>
      </c>
      <c r="AJ11" s="231" t="str">
        <f>IF(ISNUMBER(Datos!BW11),Datos!BW11," - ")</f>
        <v xml:space="preserve"> - </v>
      </c>
      <c r="AK11" s="232" t="str">
        <f>IF(ISNUMBER(Datos!BX11),Datos!BX11," - ")</f>
        <v xml:space="preserve"> - </v>
      </c>
      <c r="AL11" s="243">
        <f>IF(ISNUMBER(NºAsuntos!G11/NºAsuntos!E11),NºAsuntos!G11/NºAsuntos!E11," - ")</f>
        <v>0.97709923664122134</v>
      </c>
      <c r="AM11" s="260">
        <f>IF(ISNUMBER(((NºAsuntos!I11/NºAsuntos!G11)*11)/factor_trimestre),((NºAsuntos!I11/NºAsuntos!G11)*11)/factor_trimestre," - ")</f>
        <v>5.3531250000000004</v>
      </c>
      <c r="AN11" s="244">
        <f>IF(ISNUMBER('Resol  Asuntos'!D11/NºAsuntos!G11),'Resol  Asuntos'!D11/NºAsuntos!G11," - ")</f>
        <v>0.28125</v>
      </c>
      <c r="AO11" s="245">
        <f>IF(ISNUMBER((NºAsuntos!C11+NºAsuntos!E11)/NºAsuntos!G11),(NºAsuntos!C11+NºAsuntos!E11)/NºAsuntos!G11," - ")</f>
        <v>2.7843749999999998</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178</v>
      </c>
      <c r="G13" s="866">
        <f t="shared" si="3"/>
        <v>178</v>
      </c>
      <c r="H13" s="865">
        <f t="shared" si="3"/>
        <v>0</v>
      </c>
      <c r="I13" s="867">
        <f t="shared" si="3"/>
        <v>0</v>
      </c>
      <c r="J13" s="867">
        <f t="shared" si="3"/>
        <v>0</v>
      </c>
      <c r="K13" s="867">
        <f t="shared" si="3"/>
        <v>0</v>
      </c>
      <c r="L13" s="867">
        <f t="shared" si="3"/>
        <v>1181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78</v>
      </c>
      <c r="X13" s="867">
        <f t="shared" si="4"/>
        <v>1544</v>
      </c>
      <c r="Y13" s="868">
        <f t="shared" si="4"/>
        <v>1622</v>
      </c>
      <c r="Z13" s="868">
        <f t="shared" si="4"/>
        <v>0</v>
      </c>
      <c r="AA13" s="868">
        <f t="shared" si="4"/>
        <v>154</v>
      </c>
      <c r="AB13" s="868">
        <f t="shared" si="4"/>
        <v>13954</v>
      </c>
      <c r="AC13" s="868">
        <f t="shared" si="4"/>
        <v>289</v>
      </c>
      <c r="AD13" s="868">
        <f t="shared" si="4"/>
        <v>0</v>
      </c>
      <c r="AE13" s="872">
        <f t="shared" si="4"/>
        <v>0</v>
      </c>
      <c r="AF13" s="865">
        <f t="shared" si="4"/>
        <v>0</v>
      </c>
      <c r="AG13" s="873">
        <f t="shared" si="4"/>
        <v>0</v>
      </c>
      <c r="AH13" s="870">
        <f t="shared" si="4"/>
        <v>0</v>
      </c>
      <c r="AI13" s="865">
        <f t="shared" si="4"/>
        <v>1068</v>
      </c>
      <c r="AJ13" s="867">
        <f t="shared" si="4"/>
        <v>0</v>
      </c>
      <c r="AK13" s="870">
        <f>SUBTOTAL(9,AK9:AK12)</f>
        <v>0</v>
      </c>
      <c r="AL13" s="874">
        <f>IF(ISNUMBER(NºAsuntos!G13/NºAsuntos!E13),NºAsuntos!G13/NºAsuntos!E13," - ")</f>
        <v>1.3270785219399539</v>
      </c>
      <c r="AM13" s="874">
        <f>IF(ISNUMBER(((NºAsuntos!I13/NºAsuntos!G13)*11)/factor_trimestre),((NºAsuntos!I13/NºAsuntos!G13)*11)/factor_trimestre," - ")</f>
        <v>7.7894278877528826</v>
      </c>
      <c r="AN13" s="875">
        <f>IF(ISNUMBER('Resol  Asuntos'!D13/NºAsuntos!G13),'Resol  Asuntos'!D13/NºAsuntos!G13," - ")</f>
        <v>0.23232542962801828</v>
      </c>
      <c r="AO13" s="876">
        <f>IF(ISNUMBER((NºAsuntos!C13+NºAsuntos!E13)/NºAsuntos!G13),(NºAsuntos!C13+NºAsuntos!E13)/NºAsuntos!G13," - ")</f>
        <v>3.4452904067870351</v>
      </c>
      <c r="AP13" s="877" t="str">
        <f t="shared" si="2"/>
        <v xml:space="preserve"> - </v>
      </c>
      <c r="AQ13" s="877">
        <f>IF(ISNUMBER((H13-W13+K13)/(F13)),(H13-W13+K13)/(F13)," - ")</f>
        <v>-0.43820224719101125</v>
      </c>
      <c r="AR13" s="878">
        <f>IF(ISNUMBER((Datos!P13-Datos!Q13)/(Datos!R13-Datos!P13+Datos!Q13)),(Datos!P13-Datos!Q13)/(Datos!R13-Datos!P13+Datos!Q13)," - ")</f>
        <v>-2.5354473702591324E-2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2439</v>
      </c>
      <c r="G15" s="333">
        <f>IF(ISNUMBER(IF(D_I="SI",Datos!I15,Datos!I15+Datos!AC15)),IF(D_I="SI",Datos!I15,Datos!I15+Datos!AC15)," - ")</f>
        <v>2421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232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2999</v>
      </c>
      <c r="X15" s="226">
        <f>IF(ISNUMBER(Datos!Q15),Datos!Q15," - ")</f>
        <v>239</v>
      </c>
      <c r="Y15" s="334">
        <f>SUM(W15)</f>
        <v>2999</v>
      </c>
      <c r="Z15" s="335" t="str">
        <f>IF(ISNUMBER(Datos!CC15),Datos!CC15," - ")</f>
        <v xml:space="preserve"> - </v>
      </c>
      <c r="AA15" s="332">
        <f>IF(ISNUMBER(IF(D_I="SI",Datos!L15,Datos!L15+Datos!AF15)),IF(D_I="SI",Datos!L15,Datos!L15+Datos!AF15)," - ")</f>
        <v>2360</v>
      </c>
      <c r="AB15" s="334">
        <f>IF(ISNUMBER(Datos!R15),Datos!R15," - ")</f>
        <v>447</v>
      </c>
      <c r="AC15" s="334">
        <f t="shared" ref="AC15:AC17" si="6">IF(ISNUMBER(AA15+AB15),AA15+AB15," - ")</f>
        <v>2807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476</v>
      </c>
      <c r="AJ15" s="231" t="str">
        <f>IF(ISNUMBER(Datos!BW15),Datos!BW15," - ")</f>
        <v xml:space="preserve"> - </v>
      </c>
      <c r="AK15" s="232" t="str">
        <f>IF(ISNUMBER(Datos!BX15),Datos!BX15," - ")</f>
        <v xml:space="preserve"> - </v>
      </c>
      <c r="AL15" s="243">
        <f>IF(ISNUMBER(NºAsuntos!G15/NºAsuntos!E15),NºAsuntos!G15/NºAsuntos!E15," - ")</f>
        <v>1.0270547945205479</v>
      </c>
      <c r="AM15" s="260">
        <f>IF(ISNUMBER(((NºAsuntos!I15/NºAsuntos!G15)*11)/factor_trimestre),((NºAsuntos!I15/NºAsuntos!G15)*11)/factor_trimestre," - ")</f>
        <v>2.3607869289763252</v>
      </c>
      <c r="AN15" s="244">
        <f>IF(ISNUMBER('Resol  Asuntos'!D15/NºAsuntos!G15),'Resol  Asuntos'!D15/NºAsuntos!G15," - ")</f>
        <v>0.1587195731910637</v>
      </c>
      <c r="AO15" s="245">
        <f>IF(ISNUMBER((NºAsuntos!C15+NºAsuntos!E15)/NºAsuntos!G15),(NºAsuntos!C15+NºAsuntos!E15)/NºAsuntos!G15," - ")</f>
        <v>1.7809269756585528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347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305</v>
      </c>
      <c r="X17" s="226">
        <f>IF(ISNUMBER(Datos!Q17),Datos!Q17," - ")</f>
        <v>6</v>
      </c>
      <c r="Y17" s="334">
        <f t="shared" si="7"/>
        <v>311</v>
      </c>
      <c r="Z17" s="335" t="str">
        <f>IF(ISNUMBER(Datos!CC17),Datos!CC17," - ")</f>
        <v xml:space="preserve"> - </v>
      </c>
      <c r="AA17" s="332">
        <f>IF(ISNUMBER(Datos!L17),Datos!L17,"-")</f>
        <v>339</v>
      </c>
      <c r="AB17" s="334">
        <f>IF(ISNUMBER(Datos!R17),Datos!R17," - ")</f>
        <v>16</v>
      </c>
      <c r="AC17" s="334">
        <f t="shared" si="6"/>
        <v>355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48</v>
      </c>
      <c r="AJ17" s="231" t="str">
        <f>IF(ISNUMBER(Datos!BW17),Datos!BW17," - ")</f>
        <v xml:space="preserve"> - </v>
      </c>
      <c r="AK17" s="232" t="str">
        <f>IF(ISNUMBER(Datos!BX17),Datos!BX17," - ")</f>
        <v xml:space="preserve"> - </v>
      </c>
      <c r="AL17" s="243">
        <f>IF(ISNUMBER(NºAsuntos!G17/NºAsuntos!E17),NºAsuntos!G17/NºAsuntos!E17," - ")</f>
        <v>1.0445205479452055</v>
      </c>
      <c r="AM17" s="260">
        <f>IF(ISNUMBER(((NºAsuntos!I17/NºAsuntos!G17)*11)/factor_trimestre),((NºAsuntos!I17/NºAsuntos!G17)*11)/factor_trimestre," - ")</f>
        <v>3.3344262295081966</v>
      </c>
      <c r="AN17" s="244">
        <f>IF(ISNUMBER('Resol  Asuntos'!D17/NºAsuntos!G17),'Resol  Asuntos'!D17/NºAsuntos!G17," - ")</f>
        <v>0.15737704918032788</v>
      </c>
      <c r="AO17" s="245">
        <f>IF(ISNUMBER((NºAsuntos!C17+NºAsuntos!E17)/NºAsuntos!G17),(NºAsuntos!C17+NºAsuntos!E17)/NºAsuntos!G17," - ")</f>
        <v>2.0950819672131149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2439</v>
      </c>
      <c r="G18" s="866">
        <f>SUBTOTAL(9,G15:G17)</f>
        <v>2768</v>
      </c>
      <c r="H18" s="865">
        <f t="shared" ref="H18:O18" si="10">SUBTOTAL(9,H14:H17)</f>
        <v>0</v>
      </c>
      <c r="I18" s="867">
        <f t="shared" si="10"/>
        <v>0</v>
      </c>
      <c r="J18" s="867">
        <f t="shared" si="10"/>
        <v>0</v>
      </c>
      <c r="K18" s="867">
        <f t="shared" si="10"/>
        <v>0</v>
      </c>
      <c r="L18" s="867">
        <f t="shared" si="10"/>
        <v>238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3304</v>
      </c>
      <c r="X18" s="867">
        <f t="shared" si="11"/>
        <v>245</v>
      </c>
      <c r="Y18" s="868">
        <f t="shared" si="11"/>
        <v>3310</v>
      </c>
      <c r="Z18" s="868">
        <f t="shared" si="11"/>
        <v>0</v>
      </c>
      <c r="AA18" s="868">
        <f t="shared" si="11"/>
        <v>2699</v>
      </c>
      <c r="AB18" s="868">
        <f t="shared" si="11"/>
        <v>463</v>
      </c>
      <c r="AC18" s="868">
        <f t="shared" si="11"/>
        <v>3162</v>
      </c>
      <c r="AD18" s="868">
        <f t="shared" si="11"/>
        <v>0</v>
      </c>
      <c r="AE18" s="872">
        <f t="shared" si="11"/>
        <v>0</v>
      </c>
      <c r="AF18" s="865">
        <f t="shared" si="11"/>
        <v>0</v>
      </c>
      <c r="AG18" s="873">
        <f t="shared" si="11"/>
        <v>0</v>
      </c>
      <c r="AH18" s="870">
        <f t="shared" si="11"/>
        <v>0</v>
      </c>
      <c r="AI18" s="865">
        <f t="shared" si="11"/>
        <v>524</v>
      </c>
      <c r="AJ18" s="867">
        <f t="shared" si="11"/>
        <v>0</v>
      </c>
      <c r="AK18" s="870">
        <f t="shared" si="11"/>
        <v>0</v>
      </c>
      <c r="AL18" s="874">
        <f>IF(ISNUMBER(NºAsuntos!G18/NºAsuntos!E18),NºAsuntos!G18/NºAsuntos!E18," - ")</f>
        <v>1.0286425902864258</v>
      </c>
      <c r="AM18" s="874">
        <f>IF(ISNUMBER(((NºAsuntos!I18/NºAsuntos!G18)*11)/factor_trimestre),((NºAsuntos!I18/NºAsuntos!G18)*11)/factor_trimestre," - ")</f>
        <v>2.4506658595641642</v>
      </c>
      <c r="AN18" s="875">
        <f>IF(ISNUMBER('Resol  Asuntos'!D18/NºAsuntos!G18),'Resol  Asuntos'!D18/NºAsuntos!G18," - ")</f>
        <v>0.15859564164648909</v>
      </c>
      <c r="AO18" s="876">
        <f>IF(ISNUMBER((NºAsuntos!C18+NºAsuntos!E18)/NºAsuntos!G18),(NºAsuntos!C18+NºAsuntos!E18)/NºAsuntos!G18," - ")</f>
        <v>1.8099273607748183</v>
      </c>
      <c r="AP18" s="877" t="str">
        <f t="shared" si="2"/>
        <v xml:space="preserve"> - </v>
      </c>
      <c r="AQ18" s="877">
        <f>IF(ISNUMBER((H18-W18+K18)/(F18)),(H18-W18+K18)/(F18)," - ")</f>
        <v>-1.3546535465354654</v>
      </c>
      <c r="AR18" s="878">
        <f>IF(ISNUMBER((Datos!P18-Datos!Q18)/(Datos!R18-Datos!P18+Datos!Q18)),(Datos!P18-Datos!Q18)/(Datos!R18-Datos!P18+Datos!Q18)," - ")</f>
        <v>-1.4893617021276596E-2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2617</v>
      </c>
      <c r="G19" s="821">
        <f t="shared" si="13"/>
        <v>2946</v>
      </c>
      <c r="H19" s="820">
        <f t="shared" si="13"/>
        <v>0</v>
      </c>
      <c r="I19" s="822">
        <f t="shared" si="13"/>
        <v>0</v>
      </c>
      <c r="J19" s="822">
        <f t="shared" si="13"/>
        <v>0</v>
      </c>
      <c r="K19" s="881">
        <f t="shared" si="13"/>
        <v>0</v>
      </c>
      <c r="L19" s="822">
        <f t="shared" si="13"/>
        <v>1419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3382</v>
      </c>
      <c r="X19" s="821">
        <f t="shared" si="14"/>
        <v>1789</v>
      </c>
      <c r="Y19" s="828">
        <f t="shared" si="14"/>
        <v>4932</v>
      </c>
      <c r="Z19" s="828">
        <f t="shared" si="14"/>
        <v>0</v>
      </c>
      <c r="AA19" s="828">
        <f t="shared" si="14"/>
        <v>2853</v>
      </c>
      <c r="AB19" s="828">
        <f t="shared" si="14"/>
        <v>14417</v>
      </c>
      <c r="AC19" s="828">
        <f t="shared" si="14"/>
        <v>3451</v>
      </c>
      <c r="AD19" s="828">
        <f t="shared" si="14"/>
        <v>0</v>
      </c>
      <c r="AE19" s="830">
        <f t="shared" si="14"/>
        <v>0</v>
      </c>
      <c r="AF19" s="831">
        <f t="shared" si="14"/>
        <v>0</v>
      </c>
      <c r="AG19" s="832">
        <f t="shared" si="14"/>
        <v>0</v>
      </c>
      <c r="AH19" s="830">
        <f t="shared" si="14"/>
        <v>0</v>
      </c>
      <c r="AI19" s="820">
        <f t="shared" si="14"/>
        <v>1592</v>
      </c>
      <c r="AJ19" s="820">
        <f t="shared" si="14"/>
        <v>0</v>
      </c>
      <c r="AK19" s="830">
        <f t="shared" si="14"/>
        <v>0</v>
      </c>
      <c r="AL19" s="884">
        <f>IF(ISNUMBER(NºAsuntos!G19/NºAsuntos!E19),NºAsuntos!G19/NºAsuntos!E19," - ")</f>
        <v>1.1834931096464949</v>
      </c>
      <c r="AM19" s="885">
        <f>IF(ISNUMBER(((NºAsuntos!I19/NºAsuntos!G19)*11)/factor_trimestre),((NºAsuntos!I19/NºAsuntos!G19)*11)/factor_trimestre," - ")</f>
        <v>5.556891532717378</v>
      </c>
      <c r="AN19" s="885">
        <f>IF(ISNUMBER('Resol  Asuntos'!D19/NºAsuntos!G19),'Resol  Asuntos'!D19/NºAsuntos!G19," - ")</f>
        <v>0.20149348183774204</v>
      </c>
      <c r="AO19" s="886">
        <f>IF(ISNUMBER((NºAsuntos!C19+NºAsuntos!E19)/NºAsuntos!G19),(NºAsuntos!C19+NºAsuntos!E19)/NºAsuntos!G19," - ")</f>
        <v>2.7614226047335779</v>
      </c>
      <c r="AP19" s="887" t="str">
        <f t="shared" si="2"/>
        <v xml:space="preserve"> - </v>
      </c>
      <c r="AQ19" s="888">
        <f>IF(OR(ISNUMBER(FIND("01",Criterios!A8,1)),ISNUMBER(FIND("02",Criterios!A8,1)),ISNUMBER(FIND("03",Criterios!A8,1)),ISNUMBER(FIND("04",Criterios!A8,1))),(I19-W19+K19)/(F19-K19),(H19-W19+K19)/(F19-K19))</f>
        <v>-1.2923194497516239</v>
      </c>
      <c r="AR19" s="889">
        <f>IF(ISNUMBER((Datos!P19-Datos!Q19)/(Datos!R19-Datos!P19+Datos!Q19)),(Datos!P19-Datos!Q19)/(Datos!R19-Datos!P19+Datos!Q19)," - ")</f>
        <v>-2.5021978765131535E-2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1178.4000000000001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1305.3889586377438</v>
      </c>
      <c r="G21" s="253">
        <f>IF(ISNUMBER(STDEV(G8:G18)),STDEV(G8:G18),"-")</f>
        <v>1300.3566049357385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1648.1255109972662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398.36307918423216</v>
      </c>
      <c r="AJ21" s="252">
        <f t="shared" si="18"/>
        <v>0</v>
      </c>
      <c r="AK21" s="254">
        <f t="shared" si="18"/>
        <v>0</v>
      </c>
      <c r="AL21" s="249">
        <f t="shared" si="18"/>
        <v>0.20386417000044896</v>
      </c>
      <c r="AM21" s="250">
        <f t="shared" si="18"/>
        <v>2.4288065387581028</v>
      </c>
      <c r="AN21" s="250">
        <f t="shared" si="18"/>
        <v>0.11784393118974912</v>
      </c>
      <c r="AO21" s="251">
        <f t="shared" si="18"/>
        <v>0.74815472613565348</v>
      </c>
      <c r="AP21" s="291" t="str">
        <f t="shared" si="18"/>
        <v>-</v>
      </c>
      <c r="AQ21" s="292">
        <f t="shared" si="18"/>
        <v>0.64802892839368631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KX3CoPhl2rEzEaHqIiYeLxbBpLC1rBPvXXndwXtqdZfdegyYZS4XoXdgTjubRQ/Dyp17WJaoUAWgUzWgDS6nA==" saltValue="MGh+Wb+vubp0WECSTpDe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JEREZ DE LA FRONTERA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0.51515151515151514</v>
      </c>
      <c r="I9" s="350">
        <f>IF(ISNUMBER((Tasas!C9-Datos!BE9)/Datos!BE9),(Tasas!C9-Datos!BE9)/Datos!BE9," - ")</f>
        <v>-5.8907819947932299E-3</v>
      </c>
      <c r="J9" s="349">
        <f>IF(ISNUMBER((Tasas!D9-Datos!BF9)/Datos!BF9),(Tasas!D9-Datos!BF9)/Datos!BF9," - ")</f>
        <v>-0.27720606537411885</v>
      </c>
      <c r="K9" s="351">
        <f>IF(ISNUMBER((Tasas!E9-Datos!BG9)/Datos!BG9),(Tasas!E9-Datos!BG9)/Datos!BG9," - ")</f>
        <v>-5.1985102581561957E-2</v>
      </c>
      <c r="M9" t="e">
        <f>IF(Monitorios="SI",Datos!CE9,0)</f>
        <v>#REF!</v>
      </c>
      <c r="N9" t="e">
        <f>IF(Monitorios="SI",Datos!CF9,0)</f>
        <v>#REF!</v>
      </c>
      <c r="O9" t="e">
        <f>IF(Monitorios="SI",Datos!CG9,0)</f>
        <v>#REF!</v>
      </c>
      <c r="P9" t="e">
        <f>IF(Monitorios="SI",Datos!CH9,0)</f>
        <v>#REF!</v>
      </c>
      <c r="Q9">
        <f>IF(J_V="SI",0,Datos!AG9)</f>
        <v>157</v>
      </c>
      <c r="R9">
        <f>IF(J_V="SI",0,Datos!AH9)</f>
        <v>93</v>
      </c>
      <c r="S9">
        <f>IF(J_V="SI",0,Datos!AI9)</f>
        <v>120</v>
      </c>
      <c r="T9">
        <f>IF(J_V="SI",0,Datos!AJ9)</f>
        <v>130</v>
      </c>
    </row>
    <row r="10" spans="2:20" ht="14.25">
      <c r="B10" s="275" t="s">
        <v>246</v>
      </c>
      <c r="C10" s="7" t="str">
        <f>Datos!A10</f>
        <v>Jdos. Violencia contra la mujer</v>
      </c>
      <c r="D10" s="352">
        <f>IF(ISNUMBER((Datos!I10-Datos!S10)/Datos!S10),(Datos!I10-Datos!S10)/Datos!S10," - ")</f>
        <v>-2.7322404371584699E-2</v>
      </c>
      <c r="E10" s="348">
        <f>IF(ISNUMBER((Datos!J10-Datos!T10)/Datos!T10),(Datos!J10-Datos!T10)/Datos!T10," - ")</f>
        <v>-0.4</v>
      </c>
      <c r="F10" s="348">
        <f>IF(ISNUMBER((Datos!K10-Datos!U10)/Datos!U10),(Datos!K10-Datos!U10)/Datos!U10," - ")</f>
        <v>-2.5000000000000001E-2</v>
      </c>
      <c r="G10" s="349">
        <f>IF(ISNUMBER((Datos!L10-Datos!V10)/Datos!V10),(Datos!L10-Datos!V10)/Datos!V10," - ")</f>
        <v>-0.20207253886010362</v>
      </c>
      <c r="H10" s="230">
        <f>IF(ISNUMBER((Datos!M10-Datos!W10)/Datos!W10),(Datos!M10-Datos!W10)/Datos!W10," - ")</f>
        <v>0.26666666666666666</v>
      </c>
      <c r="I10" s="350">
        <f>IF(ISNUMBER((Tasas!C10-Datos!BE10)/Datos!BE10),(Tasas!C10-Datos!BE10)/Datos!BE10," - ")</f>
        <v>-0.18161286036933705</v>
      </c>
      <c r="J10" s="349">
        <f>IF(ISNUMBER((Tasas!D10-Datos!BF10)/Datos!BF10),(Tasas!D10-Datos!BF10)/Datos!BF10," - ")</f>
        <v>0.29914529914529914</v>
      </c>
      <c r="K10" s="351">
        <f>IF(ISNUMBER((Tasas!E10-Datos!BG10)/Datos!BG10),(Tasas!E10-Datos!BG10)/Datos!BG10," - ")</f>
        <v>-0.12839297454682069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-0.31034482758620691</v>
      </c>
      <c r="I11" s="350">
        <f>IF(ISNUMBER((Tasas!C11-Datos!BE11)/Datos!BE11),(Tasas!C11-Datos!BE11)/Datos!BE11," - ")</f>
        <v>0.46420268052516428</v>
      </c>
      <c r="J11" s="349">
        <f>IF(ISNUMBER((Tasas!D11-Datos!BF11)/Datos!BF11),(Tasas!D11-Datos!BF11)/Datos!BF11," - ")</f>
        <v>-0.43599598930481281</v>
      </c>
      <c r="K11" s="351">
        <f>IF(ISNUMBER((Tasas!E11-Datos!BG11)/Datos!BG11),(Tasas!E11-Datos!BG11)/Datos!BG11," - ")</f>
        <v>0.26027836451418218</v>
      </c>
      <c r="M11" t="e">
        <f>IF(Monitorios="SI",Datos!CE11,0)</f>
        <v>#REF!</v>
      </c>
      <c r="N11" t="e">
        <f>IF(Monitorios="SI",Datos!CF11,0)</f>
        <v>#REF!</v>
      </c>
      <c r="O11" t="e">
        <f>IF(Monitorios="SI",Datos!CG11,0)</f>
        <v>#REF!</v>
      </c>
      <c r="P11" t="e">
        <f>IF(Monitorios="SI",Datos!CH11,0)</f>
        <v>#REF!</v>
      </c>
      <c r="Q11">
        <f>IF(J_V="SI",0,Datos!AG11)</f>
        <v>163</v>
      </c>
      <c r="R11">
        <f>IF(J_V="SI",0,Datos!AH11)</f>
        <v>139</v>
      </c>
      <c r="S11">
        <f>IF(J_V="SI",0,Datos!AI11)</f>
        <v>217</v>
      </c>
      <c r="T11">
        <f>IF(J_V="SI",0,Datos!AJ11)</f>
        <v>85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0.25352112676056338</v>
      </c>
      <c r="I13" s="357">
        <f>IF(ISNUMBER((Tasas!C13-Datos!BE13)/Datos!BE13),(Tasas!C13-Datos!BE13)/Datos!BE13," - ")</f>
        <v>5.7561809946141337E-2</v>
      </c>
      <c r="J13" s="355">
        <f>IF(ISNUMBER((Tasas!D13-Datos!BF13)/Datos!BF13),(Tasas!D13-Datos!BF13)/Datos!BF13," - ")</f>
        <v>-0.32133765264067637</v>
      </c>
      <c r="K13" s="358">
        <f>IF(ISNUMBER((Tasas!E13-Datos!BG13)/Datos!BG13),(Tasas!E13-Datos!BG13)/Datos!BG13," - ")</f>
        <v>-2.334972627197058E-3</v>
      </c>
      <c r="M13" t="e">
        <f>IF(Monitorios="SI",Datos!CE13,0)</f>
        <v>#REF!</v>
      </c>
      <c r="N13" t="e">
        <f>IF(Monitorios="SI",Datos!CF13,0)</f>
        <v>#REF!</v>
      </c>
      <c r="O13" t="e">
        <f>IF(Monitorios="SI",Datos!CG13,0)</f>
        <v>#REF!</v>
      </c>
      <c r="P13" t="e">
        <f>IF(Monitorios="SI",Datos!CH13,0)</f>
        <v>#REF!</v>
      </c>
      <c r="Q13">
        <f>IF(J_V="SI",0,Datos!AG13)</f>
        <v>320</v>
      </c>
      <c r="R13">
        <f>IF(J_V="SI",0,Datos!AH13)</f>
        <v>232</v>
      </c>
      <c r="S13">
        <f>IF(J_V="SI",0,Datos!AI13)</f>
        <v>337</v>
      </c>
      <c r="T13">
        <f>IF(J_V="SI",0,Datos!AJ13)</f>
        <v>215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1.2547051442910916E-2</v>
      </c>
      <c r="E15" s="348">
        <f>IF(ISNUMBER(
   IF(D_I="SI",(Datos!J15-Datos!T15)/Datos!T15,(Datos!J15+Datos!AD15-(Datos!T15+Datos!AL15))/(Datos!T15+Datos!AL15))
     ),IF(D_I="SI",(Datos!J15-Datos!T15)/Datos!T15,(Datos!J15+Datos!AD15-(Datos!T15+Datos!AL15))/(Datos!T15+Datos!AL15))," - ")</f>
        <v>-0.11056960097471824</v>
      </c>
      <c r="F15" s="348">
        <f>IF(ISNUMBER(
   IF(D_I="SI",(Datos!K15-Datos!U15)/Datos!U15,(Datos!K15+Datos!AE15-(Datos!U15+Datos!AM15))/(Datos!U15+Datos!AM15))
     ),IF(D_I="SI",(Datos!K15-Datos!U15)/Datos!U15,(Datos!K15+Datos!AE15-(Datos!U15+Datos!AM15))/(Datos!U15+Datos!AM15))," - ")</f>
        <v>-0.11871877754922128</v>
      </c>
      <c r="G15" s="349">
        <f>IF(ISNUMBER(
   IF(D_I="SI",(Datos!L15-Datos!V15)/Datos!V15,(Datos!L15+Datos!AF15-(Datos!V15+Datos!AN15))/(Datos!V15+Datos!AN15))
     ),IF(D_I="SI",(Datos!L15-Datos!V15)/Datos!V15,(Datos!L15+Datos!AF15-(Datos!V15+Datos!AN15))/(Datos!V15+Datos!AN15))," - ")</f>
        <v>2.0319930825767402E-2</v>
      </c>
      <c r="H15" s="230">
        <f>IF(ISNUMBER((Datos!M15-Datos!W15)/Datos!W15),(Datos!M15-Datos!W15)/Datos!W15," - ")</f>
        <v>-0.32097004279600572</v>
      </c>
      <c r="I15" s="350">
        <f>IF(ISNUMBER((Tasas!C15-Datos!BE15)/Datos!BE15),(Tasas!C15-Datos!BE15)/Datos!BE15," - ")</f>
        <v>0.15776883114374338</v>
      </c>
      <c r="J15" s="349">
        <f>IF(ISNUMBER((Tasas!D15-Datos!BF15)/Datos!BF15),(Tasas!D15-Datos!BF15)/Datos!BF15," - ")</f>
        <v>-0.22949685082854526</v>
      </c>
      <c r="K15" s="351">
        <f>IF(ISNUMBER((Tasas!E15-Datos!BG15)/Datos!BG15),(Tasas!E15-Datos!BG15)/Datos!BG15," - ")</f>
        <v>6.8116760339452812E-2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0.10862619808306709</v>
      </c>
      <c r="E17" s="348">
        <f>IF(ISNUMBER(
   IF(D_I="SI",(Datos!J17-Datos!T17)/Datos!T17,(Datos!J17+Datos!AD17-(Datos!T17+Datos!AL17))/(Datos!T17+Datos!AL17))
     ),IF(D_I="SI",(Datos!J17-Datos!T17)/Datos!T17,(Datos!J17+Datos!AD17-(Datos!T17+Datos!AL17))/(Datos!T17+Datos!AL17))," - ")</f>
        <v>-0.32563510392609701</v>
      </c>
      <c r="F17" s="348">
        <f>IF(ISNUMBER(
   IF(D_I="SI",(Datos!K17-Datos!U17)/Datos!U17,(Datos!K17+Datos!AE17-(Datos!U17+Datos!AM17))/(Datos!U17+Datos!AM17))
     ),IF(D_I="SI",(Datos!K17-Datos!U17)/Datos!U17,(Datos!K17+Datos!AE17-(Datos!U17+Datos!AM17))/(Datos!U17+Datos!AM17))," - ")</f>
        <v>-0.21391752577319587</v>
      </c>
      <c r="G17" s="349">
        <f>IF(ISNUMBER(
   IF(D_I="SI",(Datos!L17-Datos!V17)/Datos!V17,(Datos!L17+Datos!AF17-(Datos!V17+Datos!AN17))/(Datos!V17+Datos!AN17))
     ),IF(D_I="SI",(Datos!L17-Datos!V17)/Datos!V17,(Datos!L17+Datos!AF17-(Datos!V17+Datos!AN17))/(Datos!V17+Datos!AN17))," - ")</f>
        <v>-6.3535911602209949E-2</v>
      </c>
      <c r="H17" s="230">
        <f>IF(ISNUMBER((Datos!M17-Datos!W17)/Datos!W17),(Datos!M17-Datos!W17)/Datos!W17," - ")</f>
        <v>0.14285714285714285</v>
      </c>
      <c r="I17" s="350">
        <f>IF(ISNUMBER((Tasas!C17-Datos!BE17)/Datos!BE17),(Tasas!C17-Datos!BE17)/Datos!BE17," - ")</f>
        <v>0.19130513540440169</v>
      </c>
      <c r="J17" s="349">
        <f>IF(ISNUMBER((Tasas!D17-Datos!BF17)/Datos!BF17),(Tasas!D17-Datos!BF17)/Datos!BF17," - ")</f>
        <v>0.45386416861826706</v>
      </c>
      <c r="K17" s="351">
        <f>IF(ISNUMBER((Tasas!E17-Datos!BG17)/Datos!BG17),(Tasas!E17-Datos!BG17)/Datos!BG17," - ")</f>
        <v>8.9667296620225947E-2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2.3668639053254437E-2</v>
      </c>
      <c r="E18" s="354">
        <f>IF(ISNUMBER(
   IF(D_I="SI",(Datos!J18-Datos!T18)/Datos!T18,(Datos!J18+Datos!AD18-(Datos!T18+Datos!AL18))/(Datos!T18+Datos!AL18))
     ),IF(D_I="SI",(Datos!J18-Datos!T18)/Datos!T18,(Datos!J18+Datos!AD18-(Datos!T18+Datos!AL18))/(Datos!T18+Datos!AL18))," - ")</f>
        <v>-0.13562970936490851</v>
      </c>
      <c r="F18" s="354">
        <f>IF(ISNUMBER(
   IF(D_I="SI",(Datos!K18-Datos!U18)/Datos!U18,(Datos!K18+Datos!AE18-(Datos!U18+Datos!AM18))/(Datos!U18+Datos!AM18))
     ),IF(D_I="SI",(Datos!K18-Datos!U18)/Datos!U18,(Datos!K18+Datos!AE18-(Datos!U18+Datos!AM18))/(Datos!U18+Datos!AM18))," - ")</f>
        <v>-0.12846214719071486</v>
      </c>
      <c r="G18" s="355">
        <f>IF(ISNUMBER(
   IF(D_I="SI",(Datos!L18-Datos!V18)/Datos!V18,(Datos!L18+Datos!AF18-(Datos!V18+Datos!AN18))/(Datos!V18+Datos!AN18))
     ),IF(D_I="SI",(Datos!L18-Datos!V18)/Datos!V18,(Datos!L18+Datos!AF18-(Datos!V18+Datos!AN18))/(Datos!V18+Datos!AN18))," - ")</f>
        <v>8.9719626168224299E-3</v>
      </c>
      <c r="H18" s="356">
        <f>IF(ISNUMBER((Datos!M18-Datos!W18)/Datos!W18),(Datos!M18-Datos!W18)/Datos!W18," - ")</f>
        <v>-0.29475100942126514</v>
      </c>
      <c r="I18" s="357">
        <f>IF(ISNUMBER((Tasas!C18-Datos!BE18)/Datos!BE18),(Tasas!C18-Datos!BE18)/Datos!BE18," - ")</f>
        <v>0.15769149826887818</v>
      </c>
      <c r="J18" s="355">
        <f>IF(ISNUMBER((Tasas!D18-Datos!BF18)/Datos!BF18),(Tasas!D18-Datos!BF18)/Datos!BF18," - ")</f>
        <v>-0.19079935735956904</v>
      </c>
      <c r="K18" s="358">
        <f>IF(ISNUMBER((Tasas!E18-Datos!BG18)/Datos!BG18),(Tasas!E18-Datos!BG18)/Datos!BG18," - ")</f>
        <v>6.8759287336033661E-2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0.24359395532194481</v>
      </c>
      <c r="E19" s="363">
        <f>IF(ISNUMBER(
   IF(J_V="SI",(Datos!J19-Datos!T19)/Datos!T19,(Datos!J19+Datos!Z19-(Datos!T19+Datos!AH19))/(Datos!T19+Datos!AH19))
     ),IF(J_V="SI",(Datos!J19-Datos!T19)/Datos!T19,(Datos!J19+Datos!Z19-(Datos!T19+Datos!AH19))/(Datos!T19+Datos!AH19))," - ")</f>
        <v>-0.1308423382372087</v>
      </c>
      <c r="F19" s="363">
        <f>IF(ISNUMBER(
   IF(J_V="SI",(Datos!K19-Datos!U19)/Datos!U19,(Datos!K19+Datos!AA19-(Datos!U19+Datos!AI19))/(Datos!U19+Datos!AI19))
     ),IF(J_V="SI",(Datos!K19-Datos!U19)/Datos!U19,(Datos!K19+Datos!AA19-(Datos!U19+Datos!AI19))/(Datos!U19+Datos!AI19))," - ")</f>
        <v>2.8508200989325695E-2</v>
      </c>
      <c r="G19" s="364">
        <f>IF(ISNUMBER(
   IF(J_V="SI",(Datos!L19-Datos!V19)/Datos!V19,(Datos!L19+Datos!AB19-(Datos!V19+Datos!AJ19))/(Datos!V19+Datos!AJ19))
     ),IF(J_V="SI",(Datos!L19-Datos!V19)/Datos!V19,(Datos!L19+Datos!AB19-(Datos!V19+Datos!AJ19))/(Datos!V19+Datos!AJ19))," - ")</f>
        <v>0.19684331043506706</v>
      </c>
      <c r="H19" s="365">
        <f>IF(ISNUMBER((Datos!M19-Datos!W19)/Datos!W19),(Datos!M19-Datos!W19)/Datos!W19," - ")</f>
        <v>-1.8808777429467085E-3</v>
      </c>
      <c r="I19" s="362">
        <f>IF(ISNUMBER((Tasas!C19-Datos!BE19)/Datos!BE19),(Tasas!C19-Datos!BE19)/Datos!BE19," - ")</f>
        <v>0.16366919513506964</v>
      </c>
      <c r="J19" s="363">
        <f>IF(ISNUMBER((Tasas!D19-Datos!BF19)/Datos!BF19),(Tasas!D19-Datos!BF19)/Datos!BF19," - ")</f>
        <v>-0.25403714338432082</v>
      </c>
      <c r="K19" s="364">
        <f>IF(ISNUMBER((Tasas!E19-Datos!BG19)/Datos!BG19),(Tasas!E19-Datos!BG19)/Datos!BG19," - ")</f>
        <v>6.8300773005154206E-2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5.7187091705099904E-2</v>
      </c>
      <c r="E21" s="278">
        <f t="shared" si="1"/>
        <v>0.14206071875935944</v>
      </c>
      <c r="F21" s="278">
        <f t="shared" si="1"/>
        <v>7.7264595899931926E-2</v>
      </c>
      <c r="G21" s="279">
        <f t="shared" si="1"/>
        <v>0.10231021445590444</v>
      </c>
      <c r="H21" s="285">
        <f t="shared" si="1"/>
        <v>0.34115142141406057</v>
      </c>
      <c r="I21" s="277">
        <f t="shared" si="1"/>
        <v>0.19879814926120001</v>
      </c>
      <c r="J21" s="278">
        <f t="shared" si="1"/>
        <v>0.33773303538259103</v>
      </c>
      <c r="K21" s="279">
        <f t="shared" si="1"/>
        <v>0.12324347003394759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2ZEEbpyS2wW8OP42fmS5uFvN9G6hlEdfG1x/ykcDJAhA1DFQl6fazaXzU7N3WBtd94kYCQ+x2wVXnX/nAHDaw==" saltValue="aNd4vX3pCpnYjDO0rT22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